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laura.martinez\Desktop\PORTALES AGOSTO\Michoacán_\"/>
    </mc:Choice>
  </mc:AlternateContent>
  <xr:revisionPtr revIDLastSave="0" documentId="13_ncr:1_{D518141F-D42E-4C36-AB19-EC888EC294EC}" xr6:coauthVersionLast="47" xr6:coauthVersionMax="47" xr10:uidLastSave="{00000000-0000-0000-0000-000000000000}"/>
  <bookViews>
    <workbookView xWindow="-108" yWindow="-108" windowWidth="23256" windowHeight="12456" tabRatio="689" xr2:uid="{00000000-000D-0000-FFFF-FFFF00000000}"/>
  </bookViews>
  <sheets>
    <sheet name="PANEL DE CONTROL DISTRITAL" sheetId="14" r:id="rId1"/>
    <sheet name="160151" sheetId="29" r:id="rId2"/>
    <sheet name="160152" sheetId="70" r:id="rId3"/>
    <sheet name="160153" sheetId="71" r:id="rId4"/>
    <sheet name="160255" sheetId="72" r:id="rId5"/>
    <sheet name="160256" sheetId="73" r:id="rId6"/>
    <sheet name="160257" sheetId="74" r:id="rId7"/>
    <sheet name="160258" sheetId="144" r:id="rId8"/>
    <sheet name="160351" sheetId="145" r:id="rId9"/>
    <sheet name="160352" sheetId="147" r:id="rId10"/>
    <sheet name="160354" sheetId="75" r:id="rId11"/>
    <sheet name="160355" sheetId="161" r:id="rId12"/>
    <sheet name="160451" sheetId="79" r:id="rId13"/>
    <sheet name="160453" sheetId="148" r:id="rId14"/>
    <sheet name="160454" sheetId="81" r:id="rId15"/>
    <sheet name="160455" sheetId="80" r:id="rId16"/>
    <sheet name="160551" sheetId="82" r:id="rId17"/>
    <sheet name="160552" sheetId="149" r:id="rId18"/>
    <sheet name="160553" sheetId="83" r:id="rId19"/>
    <sheet name="160554" sheetId="159" r:id="rId20"/>
    <sheet name="160651" sheetId="150" r:id="rId21"/>
    <sheet name="160654" sheetId="84" r:id="rId22"/>
    <sheet name="160655" sheetId="151" r:id="rId23"/>
    <sheet name="160656" sheetId="152" r:id="rId24"/>
    <sheet name="160751" sheetId="87" r:id="rId25"/>
    <sheet name="160753" sheetId="89" r:id="rId26"/>
    <sheet name="160754" sheetId="90" r:id="rId27"/>
    <sheet name="160755" sheetId="88" r:id="rId28"/>
    <sheet name="160756" sheetId="160" r:id="rId29"/>
    <sheet name="160851" sheetId="91" r:id="rId30"/>
    <sheet name="160852" sheetId="92" r:id="rId31"/>
    <sheet name="160951" sheetId="122" r:id="rId32"/>
    <sheet name="160952" sheetId="123" r:id="rId33"/>
    <sheet name="161051" sheetId="125" r:id="rId34"/>
    <sheet name="161052" sheetId="126" r:id="rId35"/>
    <sheet name="161151" sheetId="153" r:id="rId36"/>
    <sheet name="161152" sheetId="154" r:id="rId37"/>
    <sheet name="161153" sheetId="155" r:id="rId38"/>
    <sheet name="161155" sheetId="130" r:id="rId39"/>
    <sheet name="161156" sheetId="156" r:id="rId40"/>
    <sheet name="Hoja1" sheetId="162" r:id="rId41"/>
  </sheets>
  <definedNames>
    <definedName name="_xlnm.Print_Titles" localSheetId="1">'160151'!$1:$4</definedName>
    <definedName name="_xlnm.Print_Titles" localSheetId="2">'160152'!$1:$4</definedName>
    <definedName name="_xlnm.Print_Titles" localSheetId="3">'160153'!$1:$4</definedName>
    <definedName name="_xlnm.Print_Titles" localSheetId="4">'160255'!$1:$4</definedName>
    <definedName name="_xlnm.Print_Titles" localSheetId="5">'160256'!$1:$4</definedName>
    <definedName name="_xlnm.Print_Titles" localSheetId="6">'160257'!$1:$4</definedName>
    <definedName name="_xlnm.Print_Titles" localSheetId="7">'160258'!$1:$4</definedName>
    <definedName name="_xlnm.Print_Titles" localSheetId="8">'160351'!$1:$4</definedName>
    <definedName name="_xlnm.Print_Titles" localSheetId="9">'160352'!$1:$4</definedName>
    <definedName name="_xlnm.Print_Titles" localSheetId="10">'160354'!$1:$4</definedName>
    <definedName name="_xlnm.Print_Titles" localSheetId="11">'160355'!$1:$4</definedName>
    <definedName name="_xlnm.Print_Titles" localSheetId="12">'160451'!$1:$4</definedName>
    <definedName name="_xlnm.Print_Titles" localSheetId="13">'160453'!$1:$4</definedName>
    <definedName name="_xlnm.Print_Titles" localSheetId="14">'160454'!$1:$4</definedName>
    <definedName name="_xlnm.Print_Titles" localSheetId="15">'160455'!$1:$4</definedName>
    <definedName name="_xlnm.Print_Titles" localSheetId="16">'160551'!$1:$4</definedName>
    <definedName name="_xlnm.Print_Titles" localSheetId="17">'160552'!$1:$4</definedName>
    <definedName name="_xlnm.Print_Titles" localSheetId="18">'160553'!$1:$4</definedName>
    <definedName name="_xlnm.Print_Titles" localSheetId="19">'160554'!$1:$4</definedName>
    <definedName name="_xlnm.Print_Titles" localSheetId="20">'160651'!$1:$4</definedName>
    <definedName name="_xlnm.Print_Titles" localSheetId="21">'160654'!$1:$4</definedName>
    <definedName name="_xlnm.Print_Titles" localSheetId="22">'160655'!$1:$4</definedName>
    <definedName name="_xlnm.Print_Titles" localSheetId="23">'160656'!$1:$4</definedName>
    <definedName name="_xlnm.Print_Titles" localSheetId="24">'160751'!$1:$4</definedName>
    <definedName name="_xlnm.Print_Titles" localSheetId="25">'160753'!$1:$4</definedName>
    <definedName name="_xlnm.Print_Titles" localSheetId="26">'160754'!$1:$4</definedName>
    <definedName name="_xlnm.Print_Titles" localSheetId="27">'160755'!$1:$4</definedName>
    <definedName name="_xlnm.Print_Titles" localSheetId="28">'160756'!$1:$4</definedName>
    <definedName name="_xlnm.Print_Titles" localSheetId="29">'160851'!$1:$4</definedName>
    <definedName name="_xlnm.Print_Titles" localSheetId="30">'160852'!$1:$4</definedName>
    <definedName name="_xlnm.Print_Titles" localSheetId="31">'160951'!$1:$4</definedName>
    <definedName name="_xlnm.Print_Titles" localSheetId="32">'160952'!$1:$4</definedName>
    <definedName name="_xlnm.Print_Titles" localSheetId="33">'161051'!$1:$4</definedName>
    <definedName name="_xlnm.Print_Titles" localSheetId="34">'161052'!$1:$4</definedName>
    <definedName name="_xlnm.Print_Titles" localSheetId="35">'161151'!$1:$4</definedName>
    <definedName name="_xlnm.Print_Titles" localSheetId="36">'161152'!$1:$4</definedName>
    <definedName name="_xlnm.Print_Titles" localSheetId="37">'161153'!$1:$4</definedName>
    <definedName name="_xlnm.Print_Titles" localSheetId="38">'161155'!$1:$4</definedName>
    <definedName name="_xlnm.Print_Titles" localSheetId="39">'161156'!$1:$4</definedName>
    <definedName name="_xlnm.Print_Titles" localSheetId="0">'PANEL DE CONTROL DISTRITAL'!$1:$4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Z26" i="152" l="1"/>
  <c r="Y26" i="152"/>
  <c r="X26" i="152"/>
  <c r="W26" i="152"/>
  <c r="V26" i="152"/>
  <c r="U26" i="152"/>
  <c r="T26" i="152"/>
  <c r="S26" i="152"/>
  <c r="R26" i="152"/>
  <c r="Z11" i="152"/>
  <c r="Y11" i="152"/>
  <c r="X11" i="152"/>
  <c r="W11" i="152"/>
  <c r="V11" i="152"/>
  <c r="R11" i="152"/>
  <c r="O11" i="152"/>
  <c r="Z26" i="151"/>
  <c r="Y26" i="151"/>
  <c r="X26" i="151"/>
  <c r="V26" i="151"/>
  <c r="U26" i="151"/>
  <c r="T26" i="151"/>
  <c r="S26" i="151"/>
  <c r="R26" i="151"/>
  <c r="Q26" i="151"/>
  <c r="P26" i="151"/>
  <c r="O26" i="151"/>
  <c r="N26" i="151"/>
  <c r="M26" i="151"/>
  <c r="L26" i="151"/>
  <c r="K26" i="151"/>
  <c r="J26" i="151"/>
  <c r="I26" i="151"/>
  <c r="Q19" i="151"/>
  <c r="P19" i="151"/>
  <c r="O19" i="151"/>
  <c r="N19" i="151"/>
  <c r="M19" i="151"/>
  <c r="L19" i="151"/>
  <c r="K19" i="151"/>
  <c r="J19" i="151"/>
  <c r="Z11" i="151"/>
  <c r="Y11" i="151"/>
  <c r="X11" i="151"/>
  <c r="W11" i="151"/>
  <c r="V11" i="151"/>
  <c r="U11" i="151"/>
  <c r="T11" i="151"/>
  <c r="S11" i="151"/>
  <c r="R11" i="151"/>
  <c r="Q11" i="151"/>
  <c r="P11" i="151"/>
  <c r="O11" i="151"/>
  <c r="N11" i="151"/>
  <c r="M11" i="151"/>
  <c r="L11" i="151"/>
  <c r="K11" i="151"/>
  <c r="J11" i="151"/>
  <c r="I11" i="151"/>
  <c r="Z26" i="84" l="1"/>
  <c r="Y26" i="84"/>
  <c r="X26" i="84"/>
  <c r="W26" i="84"/>
  <c r="V26" i="84"/>
  <c r="U26" i="84"/>
  <c r="T26" i="84"/>
  <c r="S26" i="84"/>
  <c r="R26" i="84"/>
  <c r="Q26" i="84"/>
  <c r="P26" i="84"/>
  <c r="O26" i="84"/>
  <c r="N26" i="84"/>
  <c r="M26" i="84"/>
  <c r="L26" i="84"/>
  <c r="K26" i="84"/>
  <c r="J26" i="84"/>
  <c r="I26" i="84"/>
  <c r="Q19" i="84" l="1"/>
  <c r="P19" i="84"/>
  <c r="O19" i="84"/>
  <c r="N19" i="84"/>
  <c r="M19" i="84"/>
  <c r="L19" i="84"/>
  <c r="K19" i="84"/>
  <c r="J19" i="84"/>
  <c r="Z11" i="84"/>
  <c r="Y11" i="84"/>
  <c r="X11" i="84"/>
  <c r="W11" i="84"/>
  <c r="V11" i="84"/>
  <c r="U11" i="84"/>
  <c r="T11" i="84"/>
  <c r="S11" i="84"/>
  <c r="R11" i="84"/>
  <c r="Q11" i="84"/>
  <c r="P11" i="84"/>
  <c r="O11" i="84"/>
  <c r="N11" i="84"/>
  <c r="M11" i="84"/>
  <c r="L11" i="84"/>
  <c r="K11" i="84"/>
  <c r="J11" i="84"/>
  <c r="I11" i="84"/>
  <c r="Z26" i="150"/>
  <c r="Y26" i="150"/>
  <c r="X26" i="150"/>
  <c r="W26" i="150"/>
  <c r="V26" i="150"/>
  <c r="U26" i="150"/>
  <c r="T26" i="150"/>
  <c r="S26" i="150"/>
  <c r="R26" i="150"/>
  <c r="Q26" i="150"/>
  <c r="P26" i="150"/>
  <c r="O26" i="150"/>
  <c r="N26" i="150"/>
  <c r="M26" i="150"/>
  <c r="L26" i="150"/>
  <c r="K26" i="150"/>
  <c r="J26" i="150"/>
  <c r="I26" i="150"/>
  <c r="Q19" i="150"/>
  <c r="P19" i="150"/>
  <c r="O19" i="150"/>
  <c r="N19" i="150"/>
  <c r="M19" i="150"/>
  <c r="L19" i="150"/>
  <c r="K19" i="150"/>
  <c r="J19" i="150"/>
  <c r="I19" i="150"/>
  <c r="Z11" i="150"/>
  <c r="Y11" i="150"/>
  <c r="V11" i="150"/>
  <c r="S11" i="150"/>
  <c r="R11" i="150"/>
  <c r="Q11" i="150"/>
  <c r="P11" i="150"/>
  <c r="O11" i="150"/>
  <c r="N11" i="150"/>
  <c r="M11" i="150"/>
  <c r="L11" i="150"/>
  <c r="K11" i="150"/>
  <c r="J11" i="150"/>
  <c r="I11" i="150"/>
  <c r="Y9" i="156" l="1"/>
  <c r="X9" i="156"/>
  <c r="W9" i="156"/>
  <c r="Y9" i="130"/>
  <c r="X9" i="130"/>
  <c r="Y9" i="155"/>
  <c r="X9" i="155"/>
  <c r="Y9" i="154"/>
  <c r="X9" i="154"/>
  <c r="Y9" i="153"/>
  <c r="X9" i="153"/>
  <c r="Y9" i="126"/>
  <c r="X9" i="126"/>
  <c r="Y9" i="125"/>
  <c r="X9" i="125"/>
  <c r="Y9" i="123"/>
  <c r="X9" i="123"/>
  <c r="Y9" i="122"/>
  <c r="X9" i="122"/>
  <c r="Y9" i="92"/>
  <c r="X9" i="92"/>
  <c r="Y9" i="91"/>
  <c r="X9" i="91"/>
  <c r="Z9" i="160"/>
  <c r="Y9" i="160"/>
  <c r="X9" i="160"/>
  <c r="Y9" i="88"/>
  <c r="X9" i="88"/>
  <c r="Y9" i="90"/>
  <c r="X9" i="90"/>
  <c r="Y9" i="89"/>
  <c r="X9" i="89"/>
  <c r="Y9" i="87"/>
  <c r="X9" i="87"/>
  <c r="Y9" i="152"/>
  <c r="X9" i="152"/>
  <c r="Y9" i="151"/>
  <c r="X9" i="151"/>
  <c r="Y9" i="84"/>
  <c r="X9" i="84"/>
  <c r="Y9" i="150"/>
  <c r="X9" i="150"/>
  <c r="Y9" i="159"/>
  <c r="X9" i="159"/>
  <c r="Y9" i="83"/>
  <c r="X9" i="83"/>
  <c r="Y9" i="149"/>
  <c r="X9" i="149"/>
  <c r="Y9" i="82"/>
  <c r="X9" i="82"/>
  <c r="Y9" i="80"/>
  <c r="X9" i="80"/>
  <c r="Y9" i="81"/>
  <c r="X9" i="81"/>
  <c r="Y9" i="148"/>
  <c r="X9" i="148"/>
  <c r="Y9" i="79"/>
  <c r="X9" i="79"/>
  <c r="Y9" i="161"/>
  <c r="X9" i="161"/>
  <c r="Y9" i="75"/>
  <c r="X9" i="75"/>
  <c r="Y9" i="147"/>
  <c r="X9" i="147"/>
  <c r="Y9" i="145"/>
  <c r="X9" i="145"/>
  <c r="Y9" i="144"/>
  <c r="X9" i="144"/>
  <c r="Y9" i="74"/>
  <c r="X9" i="74"/>
  <c r="Y9" i="73"/>
  <c r="X9" i="73"/>
  <c r="Y9" i="72"/>
  <c r="X9" i="72"/>
  <c r="Y9" i="71"/>
  <c r="X9" i="71"/>
  <c r="Y9" i="70"/>
  <c r="X9" i="70"/>
  <c r="AA22" i="144" l="1"/>
  <c r="H26" i="161" l="1"/>
  <c r="AA25" i="161"/>
  <c r="H25" i="161"/>
  <c r="G25" i="161"/>
  <c r="F25" i="161"/>
  <c r="E25" i="161"/>
  <c r="D25" i="161"/>
  <c r="C25" i="161"/>
  <c r="B25" i="161"/>
  <c r="A25" i="161"/>
  <c r="H23" i="161"/>
  <c r="AA22" i="161"/>
  <c r="H22" i="161"/>
  <c r="G22" i="161"/>
  <c r="F22" i="161"/>
  <c r="E22" i="161"/>
  <c r="D22" i="161"/>
  <c r="C22" i="161"/>
  <c r="B22" i="161"/>
  <c r="A22" i="161"/>
  <c r="H20" i="161"/>
  <c r="AA19" i="161"/>
  <c r="H19" i="161"/>
  <c r="G19" i="161"/>
  <c r="F19" i="161"/>
  <c r="E19" i="161"/>
  <c r="D19" i="161"/>
  <c r="C19" i="161"/>
  <c r="B19" i="161"/>
  <c r="A19" i="161"/>
  <c r="H17" i="161"/>
  <c r="AA16" i="161"/>
  <c r="H16" i="161"/>
  <c r="G16" i="161"/>
  <c r="F16" i="161"/>
  <c r="E16" i="161"/>
  <c r="D16" i="161"/>
  <c r="C16" i="161"/>
  <c r="B16" i="161"/>
  <c r="A16" i="161"/>
  <c r="H14" i="161"/>
  <c r="AA13" i="161"/>
  <c r="H13" i="161"/>
  <c r="G13" i="161"/>
  <c r="F13" i="161"/>
  <c r="E13" i="161"/>
  <c r="D13" i="161"/>
  <c r="C13" i="161"/>
  <c r="B13" i="161"/>
  <c r="A13" i="161"/>
  <c r="H11" i="161"/>
  <c r="AA10" i="161"/>
  <c r="H10" i="161"/>
  <c r="G10" i="161"/>
  <c r="F10" i="161"/>
  <c r="E10" i="161"/>
  <c r="D10" i="161"/>
  <c r="C10" i="161"/>
  <c r="B10" i="161"/>
  <c r="A10" i="161"/>
  <c r="Z9" i="161"/>
  <c r="W9" i="161"/>
  <c r="V9" i="161"/>
  <c r="U9" i="161"/>
  <c r="T9" i="161"/>
  <c r="S9" i="161"/>
  <c r="R9" i="161"/>
  <c r="Q9" i="161"/>
  <c r="P9" i="161"/>
  <c r="O9" i="161"/>
  <c r="N9" i="161"/>
  <c r="M9" i="161"/>
  <c r="L9" i="161"/>
  <c r="K9" i="161"/>
  <c r="J9" i="161"/>
  <c r="I9" i="161"/>
  <c r="H9" i="161"/>
  <c r="G9" i="161"/>
  <c r="F9" i="161"/>
  <c r="E9" i="161"/>
  <c r="D9" i="161"/>
  <c r="C9" i="161"/>
  <c r="B9" i="161"/>
  <c r="I7" i="161"/>
  <c r="E7" i="161"/>
  <c r="B7" i="161"/>
  <c r="B6" i="161"/>
  <c r="A6" i="161"/>
  <c r="W2" i="161"/>
  <c r="A1" i="161"/>
  <c r="H26" i="160" l="1"/>
  <c r="AA25" i="160"/>
  <c r="H25" i="160"/>
  <c r="G25" i="160"/>
  <c r="F25" i="160"/>
  <c r="E25" i="160"/>
  <c r="D25" i="160"/>
  <c r="C25" i="160"/>
  <c r="B25" i="160"/>
  <c r="A25" i="160"/>
  <c r="H23" i="160"/>
  <c r="AA22" i="160"/>
  <c r="H22" i="160"/>
  <c r="G22" i="160"/>
  <c r="F22" i="160"/>
  <c r="E22" i="160"/>
  <c r="D22" i="160"/>
  <c r="C22" i="160"/>
  <c r="B22" i="160"/>
  <c r="A22" i="160"/>
  <c r="H20" i="160"/>
  <c r="AA19" i="160"/>
  <c r="H19" i="160"/>
  <c r="G19" i="160"/>
  <c r="F19" i="160"/>
  <c r="E19" i="160"/>
  <c r="D19" i="160"/>
  <c r="C19" i="160"/>
  <c r="B19" i="160"/>
  <c r="A19" i="160"/>
  <c r="H17" i="160"/>
  <c r="AA16" i="160"/>
  <c r="H16" i="160"/>
  <c r="G16" i="160"/>
  <c r="F16" i="160"/>
  <c r="E16" i="160"/>
  <c r="D16" i="160"/>
  <c r="C16" i="160"/>
  <c r="B16" i="160"/>
  <c r="A16" i="160"/>
  <c r="H14" i="160"/>
  <c r="AA13" i="160"/>
  <c r="H13" i="160"/>
  <c r="G13" i="160"/>
  <c r="F13" i="160"/>
  <c r="E13" i="160"/>
  <c r="D13" i="160"/>
  <c r="C13" i="160"/>
  <c r="B13" i="160"/>
  <c r="A13" i="160"/>
  <c r="H11" i="160"/>
  <c r="AA10" i="160"/>
  <c r="H10" i="160"/>
  <c r="G10" i="160"/>
  <c r="F10" i="160"/>
  <c r="E10" i="160"/>
  <c r="D10" i="160"/>
  <c r="C10" i="160"/>
  <c r="B10" i="160"/>
  <c r="A10" i="160"/>
  <c r="W9" i="160"/>
  <c r="V9" i="160"/>
  <c r="U9" i="160"/>
  <c r="T9" i="160"/>
  <c r="S9" i="160"/>
  <c r="R9" i="160"/>
  <c r="Q9" i="160"/>
  <c r="P9" i="160"/>
  <c r="O9" i="160"/>
  <c r="N9" i="160"/>
  <c r="M9" i="160"/>
  <c r="L9" i="160"/>
  <c r="K9" i="160"/>
  <c r="J9" i="160"/>
  <c r="I9" i="160"/>
  <c r="H9" i="160"/>
  <c r="G9" i="160"/>
  <c r="F9" i="160"/>
  <c r="E9" i="160"/>
  <c r="D9" i="160"/>
  <c r="C9" i="160"/>
  <c r="B9" i="160"/>
  <c r="I7" i="160"/>
  <c r="E7" i="160"/>
  <c r="B7" i="160"/>
  <c r="B6" i="160"/>
  <c r="A6" i="160"/>
  <c r="W2" i="160"/>
  <c r="A1" i="160"/>
  <c r="H26" i="159"/>
  <c r="AA25" i="159"/>
  <c r="H25" i="159"/>
  <c r="G25" i="159"/>
  <c r="F25" i="159"/>
  <c r="E25" i="159"/>
  <c r="D25" i="159"/>
  <c r="C25" i="159"/>
  <c r="B25" i="159"/>
  <c r="A25" i="159"/>
  <c r="H23" i="159"/>
  <c r="AA22" i="159"/>
  <c r="H22" i="159"/>
  <c r="G22" i="159"/>
  <c r="F22" i="159"/>
  <c r="E22" i="159"/>
  <c r="D22" i="159"/>
  <c r="C22" i="159"/>
  <c r="B22" i="159"/>
  <c r="A22" i="159"/>
  <c r="H20" i="159"/>
  <c r="AA19" i="159"/>
  <c r="H19" i="159"/>
  <c r="G19" i="159"/>
  <c r="F19" i="159"/>
  <c r="E19" i="159"/>
  <c r="D19" i="159"/>
  <c r="C19" i="159"/>
  <c r="B19" i="159"/>
  <c r="A19" i="159"/>
  <c r="H17" i="159"/>
  <c r="AA16" i="159"/>
  <c r="H16" i="159"/>
  <c r="G16" i="159"/>
  <c r="F16" i="159"/>
  <c r="E16" i="159"/>
  <c r="D16" i="159"/>
  <c r="C16" i="159"/>
  <c r="B16" i="159"/>
  <c r="A16" i="159"/>
  <c r="H14" i="159"/>
  <c r="AA13" i="159"/>
  <c r="H13" i="159"/>
  <c r="G13" i="159"/>
  <c r="F13" i="159"/>
  <c r="E13" i="159"/>
  <c r="D13" i="159"/>
  <c r="C13" i="159"/>
  <c r="B13" i="159"/>
  <c r="A13" i="159"/>
  <c r="H11" i="159"/>
  <c r="AA10" i="159"/>
  <c r="H10" i="159"/>
  <c r="G10" i="159"/>
  <c r="F10" i="159"/>
  <c r="E10" i="159"/>
  <c r="D10" i="159"/>
  <c r="C10" i="159"/>
  <c r="B10" i="159"/>
  <c r="A10" i="159"/>
  <c r="Z9" i="159"/>
  <c r="W9" i="159"/>
  <c r="V9" i="159"/>
  <c r="U9" i="159"/>
  <c r="T9" i="159"/>
  <c r="S9" i="159"/>
  <c r="R9" i="159"/>
  <c r="Q9" i="159"/>
  <c r="P9" i="159"/>
  <c r="O9" i="159"/>
  <c r="N9" i="159"/>
  <c r="M9" i="159"/>
  <c r="L9" i="159"/>
  <c r="K9" i="159"/>
  <c r="J9" i="159"/>
  <c r="I9" i="159"/>
  <c r="H9" i="159"/>
  <c r="G9" i="159"/>
  <c r="F9" i="159"/>
  <c r="E9" i="159"/>
  <c r="D9" i="159"/>
  <c r="C9" i="159"/>
  <c r="B9" i="159"/>
  <c r="I7" i="159"/>
  <c r="E7" i="159"/>
  <c r="B7" i="159"/>
  <c r="B6" i="159"/>
  <c r="A6" i="159"/>
  <c r="W2" i="159"/>
  <c r="A1" i="159"/>
  <c r="I7" i="144"/>
  <c r="H26" i="156"/>
  <c r="AA25" i="156"/>
  <c r="H25" i="156"/>
  <c r="G25" i="156"/>
  <c r="F25" i="156"/>
  <c r="E25" i="156"/>
  <c r="D25" i="156"/>
  <c r="C25" i="156"/>
  <c r="B25" i="156"/>
  <c r="A25" i="156"/>
  <c r="H23" i="156"/>
  <c r="AA22" i="156"/>
  <c r="H22" i="156"/>
  <c r="G22" i="156"/>
  <c r="F22" i="156"/>
  <c r="E22" i="156"/>
  <c r="D22" i="156"/>
  <c r="C22" i="156"/>
  <c r="B22" i="156"/>
  <c r="A22" i="156"/>
  <c r="H20" i="156"/>
  <c r="AA19" i="156"/>
  <c r="H19" i="156"/>
  <c r="G19" i="156"/>
  <c r="F19" i="156"/>
  <c r="E19" i="156"/>
  <c r="D19" i="156"/>
  <c r="C19" i="156"/>
  <c r="B19" i="156"/>
  <c r="A19" i="156"/>
  <c r="H17" i="156"/>
  <c r="AA16" i="156"/>
  <c r="H16" i="156"/>
  <c r="G16" i="156"/>
  <c r="F16" i="156"/>
  <c r="E16" i="156"/>
  <c r="D16" i="156"/>
  <c r="C16" i="156"/>
  <c r="B16" i="156"/>
  <c r="A16" i="156"/>
  <c r="H14" i="156"/>
  <c r="AA13" i="156"/>
  <c r="H13" i="156"/>
  <c r="G13" i="156"/>
  <c r="F13" i="156"/>
  <c r="E13" i="156"/>
  <c r="D13" i="156"/>
  <c r="C13" i="156"/>
  <c r="B13" i="156"/>
  <c r="A13" i="156"/>
  <c r="H11" i="156"/>
  <c r="AA10" i="156"/>
  <c r="H10" i="156"/>
  <c r="G10" i="156"/>
  <c r="F10" i="156"/>
  <c r="E10" i="156"/>
  <c r="D10" i="156"/>
  <c r="C10" i="156"/>
  <c r="B10" i="156"/>
  <c r="A10" i="156"/>
  <c r="Z9" i="156"/>
  <c r="V9" i="156"/>
  <c r="U9" i="156"/>
  <c r="T9" i="156"/>
  <c r="S9" i="156"/>
  <c r="R9" i="156"/>
  <c r="Q9" i="156"/>
  <c r="P9" i="156"/>
  <c r="O9" i="156"/>
  <c r="N9" i="156"/>
  <c r="M9" i="156"/>
  <c r="L9" i="156"/>
  <c r="K9" i="156"/>
  <c r="J9" i="156"/>
  <c r="I9" i="156"/>
  <c r="H9" i="156"/>
  <c r="G9" i="156"/>
  <c r="F9" i="156"/>
  <c r="E9" i="156"/>
  <c r="D9" i="156"/>
  <c r="C9" i="156"/>
  <c r="B9" i="156"/>
  <c r="I7" i="156"/>
  <c r="E7" i="156"/>
  <c r="B7" i="156"/>
  <c r="B6" i="156"/>
  <c r="A6" i="156"/>
  <c r="W2" i="156"/>
  <c r="A1" i="156"/>
  <c r="H26" i="155"/>
  <c r="AA25" i="155"/>
  <c r="H25" i="155"/>
  <c r="G25" i="155"/>
  <c r="F25" i="155"/>
  <c r="E25" i="155"/>
  <c r="D25" i="155"/>
  <c r="C25" i="155"/>
  <c r="B25" i="155"/>
  <c r="A25" i="155"/>
  <c r="H23" i="155"/>
  <c r="AA22" i="155"/>
  <c r="H22" i="155"/>
  <c r="G22" i="155"/>
  <c r="F22" i="155"/>
  <c r="E22" i="155"/>
  <c r="D22" i="155"/>
  <c r="C22" i="155"/>
  <c r="B22" i="155"/>
  <c r="A22" i="155"/>
  <c r="H20" i="155"/>
  <c r="AA19" i="155"/>
  <c r="H19" i="155"/>
  <c r="G19" i="155"/>
  <c r="F19" i="155"/>
  <c r="E19" i="155"/>
  <c r="D19" i="155"/>
  <c r="C19" i="155"/>
  <c r="B19" i="155"/>
  <c r="A19" i="155"/>
  <c r="H17" i="155"/>
  <c r="AA16" i="155"/>
  <c r="H16" i="155"/>
  <c r="G16" i="155"/>
  <c r="F16" i="155"/>
  <c r="E16" i="155"/>
  <c r="D16" i="155"/>
  <c r="C16" i="155"/>
  <c r="B16" i="155"/>
  <c r="A16" i="155"/>
  <c r="H14" i="155"/>
  <c r="AA13" i="155"/>
  <c r="H13" i="155"/>
  <c r="G13" i="155"/>
  <c r="F13" i="155"/>
  <c r="E13" i="155"/>
  <c r="D13" i="155"/>
  <c r="C13" i="155"/>
  <c r="B13" i="155"/>
  <c r="A13" i="155"/>
  <c r="H11" i="155"/>
  <c r="AA10" i="155"/>
  <c r="H10" i="155"/>
  <c r="G10" i="155"/>
  <c r="F10" i="155"/>
  <c r="E10" i="155"/>
  <c r="D10" i="155"/>
  <c r="C10" i="155"/>
  <c r="B10" i="155"/>
  <c r="A10" i="155"/>
  <c r="Z9" i="155"/>
  <c r="W9" i="155"/>
  <c r="V9" i="155"/>
  <c r="U9" i="155"/>
  <c r="T9" i="155"/>
  <c r="S9" i="155"/>
  <c r="R9" i="155"/>
  <c r="Q9" i="155"/>
  <c r="P9" i="155"/>
  <c r="O9" i="155"/>
  <c r="N9" i="155"/>
  <c r="M9" i="155"/>
  <c r="L9" i="155"/>
  <c r="K9" i="155"/>
  <c r="J9" i="155"/>
  <c r="I9" i="155"/>
  <c r="H9" i="155"/>
  <c r="G9" i="155"/>
  <c r="F9" i="155"/>
  <c r="E9" i="155"/>
  <c r="D9" i="155"/>
  <c r="C9" i="155"/>
  <c r="B9" i="155"/>
  <c r="I7" i="155"/>
  <c r="E7" i="155"/>
  <c r="B7" i="155"/>
  <c r="B6" i="155"/>
  <c r="A6" i="155"/>
  <c r="W2" i="155"/>
  <c r="A1" i="155"/>
  <c r="H26" i="154"/>
  <c r="AA25" i="154"/>
  <c r="H25" i="154"/>
  <c r="G25" i="154"/>
  <c r="F25" i="154"/>
  <c r="E25" i="154"/>
  <c r="D25" i="154"/>
  <c r="C25" i="154"/>
  <c r="B25" i="154"/>
  <c r="A25" i="154"/>
  <c r="H23" i="154"/>
  <c r="AA22" i="154"/>
  <c r="H22" i="154"/>
  <c r="G22" i="154"/>
  <c r="F22" i="154"/>
  <c r="E22" i="154"/>
  <c r="D22" i="154"/>
  <c r="C22" i="154"/>
  <c r="B22" i="154"/>
  <c r="A22" i="154"/>
  <c r="H20" i="154"/>
  <c r="AA19" i="154"/>
  <c r="H19" i="154"/>
  <c r="G19" i="154"/>
  <c r="F19" i="154"/>
  <c r="E19" i="154"/>
  <c r="D19" i="154"/>
  <c r="C19" i="154"/>
  <c r="B19" i="154"/>
  <c r="A19" i="154"/>
  <c r="H17" i="154"/>
  <c r="AA16" i="154"/>
  <c r="H16" i="154"/>
  <c r="G16" i="154"/>
  <c r="F16" i="154"/>
  <c r="E16" i="154"/>
  <c r="D16" i="154"/>
  <c r="C16" i="154"/>
  <c r="B16" i="154"/>
  <c r="A16" i="154"/>
  <c r="H14" i="154"/>
  <c r="AA13" i="154"/>
  <c r="H13" i="154"/>
  <c r="G13" i="154"/>
  <c r="F13" i="154"/>
  <c r="E13" i="154"/>
  <c r="D13" i="154"/>
  <c r="C13" i="154"/>
  <c r="B13" i="154"/>
  <c r="A13" i="154"/>
  <c r="H11" i="154"/>
  <c r="AA10" i="154"/>
  <c r="H10" i="154"/>
  <c r="G10" i="154"/>
  <c r="F10" i="154"/>
  <c r="E10" i="154"/>
  <c r="D10" i="154"/>
  <c r="C10" i="154"/>
  <c r="B10" i="154"/>
  <c r="A10" i="154"/>
  <c r="Z9" i="154"/>
  <c r="W9" i="154"/>
  <c r="V9" i="154"/>
  <c r="U9" i="154"/>
  <c r="T9" i="154"/>
  <c r="S9" i="154"/>
  <c r="R9" i="154"/>
  <c r="Q9" i="154"/>
  <c r="P9" i="154"/>
  <c r="O9" i="154"/>
  <c r="N9" i="154"/>
  <c r="M9" i="154"/>
  <c r="L9" i="154"/>
  <c r="K9" i="154"/>
  <c r="J9" i="154"/>
  <c r="I9" i="154"/>
  <c r="H9" i="154"/>
  <c r="G9" i="154"/>
  <c r="F9" i="154"/>
  <c r="E9" i="154"/>
  <c r="D9" i="154"/>
  <c r="C9" i="154"/>
  <c r="B9" i="154"/>
  <c r="I7" i="154"/>
  <c r="E7" i="154"/>
  <c r="B7" i="154"/>
  <c r="B6" i="154"/>
  <c r="A6" i="154"/>
  <c r="W2" i="154"/>
  <c r="A1" i="154"/>
  <c r="H26" i="153"/>
  <c r="AA25" i="153"/>
  <c r="H25" i="153"/>
  <c r="G25" i="153"/>
  <c r="F25" i="153"/>
  <c r="E25" i="153"/>
  <c r="D25" i="153"/>
  <c r="C25" i="153"/>
  <c r="B25" i="153"/>
  <c r="A25" i="153"/>
  <c r="H23" i="153"/>
  <c r="AA22" i="153"/>
  <c r="H22" i="153"/>
  <c r="G22" i="153"/>
  <c r="F22" i="153"/>
  <c r="E22" i="153"/>
  <c r="D22" i="153"/>
  <c r="C22" i="153"/>
  <c r="B22" i="153"/>
  <c r="A22" i="153"/>
  <c r="H20" i="153"/>
  <c r="AA19" i="153"/>
  <c r="H19" i="153"/>
  <c r="G19" i="153"/>
  <c r="F19" i="153"/>
  <c r="E19" i="153"/>
  <c r="D19" i="153"/>
  <c r="C19" i="153"/>
  <c r="B19" i="153"/>
  <c r="A19" i="153"/>
  <c r="H17" i="153"/>
  <c r="AA16" i="153"/>
  <c r="H16" i="153"/>
  <c r="G16" i="153"/>
  <c r="F16" i="153"/>
  <c r="E16" i="153"/>
  <c r="D16" i="153"/>
  <c r="C16" i="153"/>
  <c r="B16" i="153"/>
  <c r="A16" i="153"/>
  <c r="H14" i="153"/>
  <c r="AA13" i="153"/>
  <c r="H13" i="153"/>
  <c r="G13" i="153"/>
  <c r="F13" i="153"/>
  <c r="E13" i="153"/>
  <c r="D13" i="153"/>
  <c r="C13" i="153"/>
  <c r="B13" i="153"/>
  <c r="A13" i="153"/>
  <c r="H11" i="153"/>
  <c r="AA10" i="153"/>
  <c r="H10" i="153"/>
  <c r="G10" i="153"/>
  <c r="F10" i="153"/>
  <c r="E10" i="153"/>
  <c r="D10" i="153"/>
  <c r="C10" i="153"/>
  <c r="B10" i="153"/>
  <c r="A10" i="153"/>
  <c r="Z9" i="153"/>
  <c r="W9" i="153"/>
  <c r="V9" i="153"/>
  <c r="U9" i="153"/>
  <c r="T9" i="153"/>
  <c r="S9" i="153"/>
  <c r="R9" i="153"/>
  <c r="Q9" i="153"/>
  <c r="P9" i="153"/>
  <c r="O9" i="153"/>
  <c r="N9" i="153"/>
  <c r="M9" i="153"/>
  <c r="L9" i="153"/>
  <c r="K9" i="153"/>
  <c r="J9" i="153"/>
  <c r="I9" i="153"/>
  <c r="H9" i="153"/>
  <c r="G9" i="153"/>
  <c r="F9" i="153"/>
  <c r="E9" i="153"/>
  <c r="D9" i="153"/>
  <c r="C9" i="153"/>
  <c r="B9" i="153"/>
  <c r="I7" i="153"/>
  <c r="E7" i="153"/>
  <c r="B7" i="153"/>
  <c r="B6" i="153"/>
  <c r="A6" i="153"/>
  <c r="W2" i="153"/>
  <c r="A1" i="153"/>
  <c r="H26" i="152"/>
  <c r="AA25" i="152"/>
  <c r="H25" i="152"/>
  <c r="G25" i="152"/>
  <c r="F25" i="152"/>
  <c r="E25" i="152"/>
  <c r="D25" i="152"/>
  <c r="C25" i="152"/>
  <c r="B25" i="152"/>
  <c r="A25" i="152"/>
  <c r="H23" i="152"/>
  <c r="AA22" i="152"/>
  <c r="H22" i="152"/>
  <c r="G22" i="152"/>
  <c r="F22" i="152"/>
  <c r="E22" i="152"/>
  <c r="D22" i="152"/>
  <c r="C22" i="152"/>
  <c r="B22" i="152"/>
  <c r="A22" i="152"/>
  <c r="H20" i="152"/>
  <c r="AA19" i="152"/>
  <c r="H19" i="152"/>
  <c r="G19" i="152"/>
  <c r="F19" i="152"/>
  <c r="E19" i="152"/>
  <c r="D19" i="152"/>
  <c r="C19" i="152"/>
  <c r="B19" i="152"/>
  <c r="A19" i="152"/>
  <c r="H17" i="152"/>
  <c r="AA16" i="152"/>
  <c r="H16" i="152"/>
  <c r="G16" i="152"/>
  <c r="F16" i="152"/>
  <c r="E16" i="152"/>
  <c r="D16" i="152"/>
  <c r="C16" i="152"/>
  <c r="B16" i="152"/>
  <c r="A16" i="152"/>
  <c r="H14" i="152"/>
  <c r="AA13" i="152"/>
  <c r="H13" i="152"/>
  <c r="G13" i="152"/>
  <c r="F13" i="152"/>
  <c r="E13" i="152"/>
  <c r="D13" i="152"/>
  <c r="C13" i="152"/>
  <c r="B13" i="152"/>
  <c r="A13" i="152"/>
  <c r="H11" i="152"/>
  <c r="AA10" i="152"/>
  <c r="H10" i="152"/>
  <c r="G10" i="152"/>
  <c r="F10" i="152"/>
  <c r="E10" i="152"/>
  <c r="D10" i="152"/>
  <c r="C10" i="152"/>
  <c r="B10" i="152"/>
  <c r="A10" i="152"/>
  <c r="Z9" i="152"/>
  <c r="W9" i="152"/>
  <c r="V9" i="152"/>
  <c r="U9" i="152"/>
  <c r="T9" i="152"/>
  <c r="S9" i="152"/>
  <c r="R9" i="152"/>
  <c r="Q9" i="152"/>
  <c r="P9" i="152"/>
  <c r="O9" i="152"/>
  <c r="N9" i="152"/>
  <c r="M9" i="152"/>
  <c r="L9" i="152"/>
  <c r="K9" i="152"/>
  <c r="J9" i="152"/>
  <c r="I9" i="152"/>
  <c r="H9" i="152"/>
  <c r="G9" i="152"/>
  <c r="F9" i="152"/>
  <c r="E9" i="152"/>
  <c r="D9" i="152"/>
  <c r="C9" i="152"/>
  <c r="B9" i="152"/>
  <c r="I7" i="152"/>
  <c r="E7" i="152"/>
  <c r="B7" i="152"/>
  <c r="B6" i="152"/>
  <c r="A6" i="152"/>
  <c r="W2" i="152"/>
  <c r="A1" i="152"/>
  <c r="H26" i="151"/>
  <c r="AA25" i="151"/>
  <c r="H25" i="151"/>
  <c r="G25" i="151"/>
  <c r="F25" i="151"/>
  <c r="E25" i="151"/>
  <c r="D25" i="151"/>
  <c r="C25" i="151"/>
  <c r="B25" i="151"/>
  <c r="A25" i="151"/>
  <c r="H23" i="151"/>
  <c r="AA22" i="151"/>
  <c r="H22" i="151"/>
  <c r="G22" i="151"/>
  <c r="F22" i="151"/>
  <c r="E22" i="151"/>
  <c r="D22" i="151"/>
  <c r="C22" i="151"/>
  <c r="B22" i="151"/>
  <c r="A22" i="151"/>
  <c r="H20" i="151"/>
  <c r="AA19" i="151"/>
  <c r="H19" i="151"/>
  <c r="G19" i="151"/>
  <c r="F19" i="151"/>
  <c r="E19" i="151"/>
  <c r="D19" i="151"/>
  <c r="C19" i="151"/>
  <c r="B19" i="151"/>
  <c r="A19" i="151"/>
  <c r="H17" i="151"/>
  <c r="AA16" i="151"/>
  <c r="H16" i="151"/>
  <c r="G16" i="151"/>
  <c r="F16" i="151"/>
  <c r="E16" i="151"/>
  <c r="D16" i="151"/>
  <c r="C16" i="151"/>
  <c r="B16" i="151"/>
  <c r="A16" i="151"/>
  <c r="H14" i="151"/>
  <c r="AA13" i="151"/>
  <c r="H13" i="151"/>
  <c r="G13" i="151"/>
  <c r="F13" i="151"/>
  <c r="E13" i="151"/>
  <c r="D13" i="151"/>
  <c r="C13" i="151"/>
  <c r="B13" i="151"/>
  <c r="A13" i="151"/>
  <c r="H11" i="151"/>
  <c r="AA10" i="151"/>
  <c r="H10" i="151"/>
  <c r="G10" i="151"/>
  <c r="F10" i="151"/>
  <c r="E10" i="151"/>
  <c r="D10" i="151"/>
  <c r="C10" i="151"/>
  <c r="B10" i="151"/>
  <c r="A10" i="151"/>
  <c r="Z9" i="151"/>
  <c r="W9" i="151"/>
  <c r="V9" i="151"/>
  <c r="U9" i="151"/>
  <c r="T9" i="151"/>
  <c r="S9" i="151"/>
  <c r="R9" i="151"/>
  <c r="Q9" i="151"/>
  <c r="P9" i="151"/>
  <c r="O9" i="151"/>
  <c r="N9" i="151"/>
  <c r="M9" i="151"/>
  <c r="L9" i="151"/>
  <c r="K9" i="151"/>
  <c r="J9" i="151"/>
  <c r="I9" i="151"/>
  <c r="H9" i="151"/>
  <c r="G9" i="151"/>
  <c r="F9" i="151"/>
  <c r="E9" i="151"/>
  <c r="D9" i="151"/>
  <c r="C9" i="151"/>
  <c r="B9" i="151"/>
  <c r="I7" i="151"/>
  <c r="E7" i="151"/>
  <c r="B7" i="151"/>
  <c r="B6" i="151"/>
  <c r="A6" i="151"/>
  <c r="W2" i="151"/>
  <c r="A1" i="151"/>
  <c r="H26" i="150"/>
  <c r="AA25" i="150"/>
  <c r="H25" i="150"/>
  <c r="G25" i="150"/>
  <c r="F25" i="150"/>
  <c r="E25" i="150"/>
  <c r="D25" i="150"/>
  <c r="C25" i="150"/>
  <c r="B25" i="150"/>
  <c r="A25" i="150"/>
  <c r="H23" i="150"/>
  <c r="AA22" i="150"/>
  <c r="H22" i="150"/>
  <c r="G22" i="150"/>
  <c r="F22" i="150"/>
  <c r="E22" i="150"/>
  <c r="D22" i="150"/>
  <c r="C22" i="150"/>
  <c r="B22" i="150"/>
  <c r="A22" i="150"/>
  <c r="H20" i="150"/>
  <c r="AA19" i="150"/>
  <c r="H19" i="150"/>
  <c r="G19" i="150"/>
  <c r="F19" i="150"/>
  <c r="E19" i="150"/>
  <c r="D19" i="150"/>
  <c r="C19" i="150"/>
  <c r="B19" i="150"/>
  <c r="A19" i="150"/>
  <c r="H17" i="150"/>
  <c r="AA16" i="150"/>
  <c r="H16" i="150"/>
  <c r="G16" i="150"/>
  <c r="F16" i="150"/>
  <c r="E16" i="150"/>
  <c r="D16" i="150"/>
  <c r="C16" i="150"/>
  <c r="B16" i="150"/>
  <c r="A16" i="150"/>
  <c r="H14" i="150"/>
  <c r="AA13" i="150"/>
  <c r="H13" i="150"/>
  <c r="G13" i="150"/>
  <c r="F13" i="150"/>
  <c r="E13" i="150"/>
  <c r="D13" i="150"/>
  <c r="C13" i="150"/>
  <c r="B13" i="150"/>
  <c r="A13" i="150"/>
  <c r="H11" i="150"/>
  <c r="AA10" i="150"/>
  <c r="H10" i="150"/>
  <c r="G10" i="150"/>
  <c r="F10" i="150"/>
  <c r="E10" i="150"/>
  <c r="D10" i="150"/>
  <c r="C10" i="150"/>
  <c r="B10" i="150"/>
  <c r="A10" i="150"/>
  <c r="Z9" i="150"/>
  <c r="W9" i="150"/>
  <c r="V9" i="150"/>
  <c r="U9" i="150"/>
  <c r="T9" i="150"/>
  <c r="S9" i="150"/>
  <c r="R9" i="150"/>
  <c r="Q9" i="150"/>
  <c r="P9" i="150"/>
  <c r="O9" i="150"/>
  <c r="N9" i="150"/>
  <c r="M9" i="150"/>
  <c r="L9" i="150"/>
  <c r="K9" i="150"/>
  <c r="J9" i="150"/>
  <c r="I9" i="150"/>
  <c r="H9" i="150"/>
  <c r="G9" i="150"/>
  <c r="F9" i="150"/>
  <c r="E9" i="150"/>
  <c r="D9" i="150"/>
  <c r="C9" i="150"/>
  <c r="B9" i="150"/>
  <c r="I7" i="150"/>
  <c r="E7" i="150"/>
  <c r="B7" i="150"/>
  <c r="B6" i="150"/>
  <c r="A6" i="150"/>
  <c r="W2" i="150"/>
  <c r="A1" i="150"/>
  <c r="H26" i="149"/>
  <c r="AA25" i="149"/>
  <c r="H25" i="149"/>
  <c r="G25" i="149"/>
  <c r="F25" i="149"/>
  <c r="E25" i="149"/>
  <c r="D25" i="149"/>
  <c r="C25" i="149"/>
  <c r="B25" i="149"/>
  <c r="A25" i="149"/>
  <c r="H23" i="149"/>
  <c r="AA22" i="149"/>
  <c r="H22" i="149"/>
  <c r="G22" i="149"/>
  <c r="F22" i="149"/>
  <c r="E22" i="149"/>
  <c r="D22" i="149"/>
  <c r="C22" i="149"/>
  <c r="B22" i="149"/>
  <c r="A22" i="149"/>
  <c r="H20" i="149"/>
  <c r="AA19" i="149"/>
  <c r="H19" i="149"/>
  <c r="G19" i="149"/>
  <c r="F19" i="149"/>
  <c r="E19" i="149"/>
  <c r="D19" i="149"/>
  <c r="C19" i="149"/>
  <c r="B19" i="149"/>
  <c r="A19" i="149"/>
  <c r="H17" i="149"/>
  <c r="AA16" i="149"/>
  <c r="H16" i="149"/>
  <c r="G16" i="149"/>
  <c r="F16" i="149"/>
  <c r="E16" i="149"/>
  <c r="D16" i="149"/>
  <c r="C16" i="149"/>
  <c r="B16" i="149"/>
  <c r="A16" i="149"/>
  <c r="H14" i="149"/>
  <c r="AA13" i="149"/>
  <c r="H13" i="149"/>
  <c r="G13" i="149"/>
  <c r="F13" i="149"/>
  <c r="E13" i="149"/>
  <c r="D13" i="149"/>
  <c r="C13" i="149"/>
  <c r="B13" i="149"/>
  <c r="A13" i="149"/>
  <c r="H11" i="149"/>
  <c r="AA10" i="149"/>
  <c r="H10" i="149"/>
  <c r="G10" i="149"/>
  <c r="F10" i="149"/>
  <c r="E10" i="149"/>
  <c r="D10" i="149"/>
  <c r="C10" i="149"/>
  <c r="B10" i="149"/>
  <c r="A10" i="149"/>
  <c r="Z9" i="149"/>
  <c r="W9" i="149"/>
  <c r="V9" i="149"/>
  <c r="U9" i="149"/>
  <c r="T9" i="149"/>
  <c r="S9" i="149"/>
  <c r="R9" i="149"/>
  <c r="Q9" i="149"/>
  <c r="P9" i="149"/>
  <c r="O9" i="149"/>
  <c r="N9" i="149"/>
  <c r="M9" i="149"/>
  <c r="L9" i="149"/>
  <c r="K9" i="149"/>
  <c r="J9" i="149"/>
  <c r="I9" i="149"/>
  <c r="H9" i="149"/>
  <c r="G9" i="149"/>
  <c r="F9" i="149"/>
  <c r="E9" i="149"/>
  <c r="D9" i="149"/>
  <c r="C9" i="149"/>
  <c r="B9" i="149"/>
  <c r="I7" i="149"/>
  <c r="E7" i="149"/>
  <c r="B7" i="149"/>
  <c r="B6" i="149"/>
  <c r="A6" i="149"/>
  <c r="W2" i="149"/>
  <c r="A1" i="149"/>
  <c r="H26" i="148"/>
  <c r="AA25" i="148"/>
  <c r="H25" i="148"/>
  <c r="G25" i="148"/>
  <c r="F25" i="148"/>
  <c r="E25" i="148"/>
  <c r="D25" i="148"/>
  <c r="C25" i="148"/>
  <c r="B25" i="148"/>
  <c r="A25" i="148"/>
  <c r="H23" i="148"/>
  <c r="AA22" i="148"/>
  <c r="H22" i="148"/>
  <c r="G22" i="148"/>
  <c r="F22" i="148"/>
  <c r="E22" i="148"/>
  <c r="D22" i="148"/>
  <c r="C22" i="148"/>
  <c r="B22" i="148"/>
  <c r="A22" i="148"/>
  <c r="H20" i="148"/>
  <c r="AA19" i="148"/>
  <c r="H19" i="148"/>
  <c r="G19" i="148"/>
  <c r="F19" i="148"/>
  <c r="E19" i="148"/>
  <c r="D19" i="148"/>
  <c r="C19" i="148"/>
  <c r="B19" i="148"/>
  <c r="A19" i="148"/>
  <c r="H17" i="148"/>
  <c r="AA16" i="148"/>
  <c r="H16" i="148"/>
  <c r="G16" i="148"/>
  <c r="F16" i="148"/>
  <c r="E16" i="148"/>
  <c r="D16" i="148"/>
  <c r="C16" i="148"/>
  <c r="B16" i="148"/>
  <c r="A16" i="148"/>
  <c r="H14" i="148"/>
  <c r="AA13" i="148"/>
  <c r="H13" i="148"/>
  <c r="G13" i="148"/>
  <c r="F13" i="148"/>
  <c r="E13" i="148"/>
  <c r="D13" i="148"/>
  <c r="C13" i="148"/>
  <c r="B13" i="148"/>
  <c r="A13" i="148"/>
  <c r="H11" i="148"/>
  <c r="AA10" i="148"/>
  <c r="H10" i="148"/>
  <c r="G10" i="148"/>
  <c r="F10" i="148"/>
  <c r="E10" i="148"/>
  <c r="D10" i="148"/>
  <c r="C10" i="148"/>
  <c r="B10" i="148"/>
  <c r="A10" i="148"/>
  <c r="Z9" i="148"/>
  <c r="W9" i="148"/>
  <c r="V9" i="148"/>
  <c r="U9" i="148"/>
  <c r="T9" i="148"/>
  <c r="S9" i="148"/>
  <c r="R9" i="148"/>
  <c r="Q9" i="148"/>
  <c r="P9" i="148"/>
  <c r="O9" i="148"/>
  <c r="N9" i="148"/>
  <c r="M9" i="148"/>
  <c r="L9" i="148"/>
  <c r="K9" i="148"/>
  <c r="J9" i="148"/>
  <c r="I9" i="148"/>
  <c r="H9" i="148"/>
  <c r="G9" i="148"/>
  <c r="F9" i="148"/>
  <c r="E9" i="148"/>
  <c r="D9" i="148"/>
  <c r="C9" i="148"/>
  <c r="B9" i="148"/>
  <c r="I7" i="148"/>
  <c r="E7" i="148"/>
  <c r="B7" i="148"/>
  <c r="B6" i="148"/>
  <c r="A6" i="148"/>
  <c r="W2" i="148"/>
  <c r="A1" i="148"/>
  <c r="H26" i="147"/>
  <c r="AA25" i="147"/>
  <c r="H25" i="147"/>
  <c r="G25" i="147"/>
  <c r="F25" i="147"/>
  <c r="E25" i="147"/>
  <c r="D25" i="147"/>
  <c r="C25" i="147"/>
  <c r="B25" i="147"/>
  <c r="A25" i="147"/>
  <c r="H23" i="147"/>
  <c r="AA22" i="147"/>
  <c r="H22" i="147"/>
  <c r="G22" i="147"/>
  <c r="F22" i="147"/>
  <c r="E22" i="147"/>
  <c r="D22" i="147"/>
  <c r="C22" i="147"/>
  <c r="B22" i="147"/>
  <c r="A22" i="147"/>
  <c r="H20" i="147"/>
  <c r="AA19" i="147"/>
  <c r="H19" i="147"/>
  <c r="G19" i="147"/>
  <c r="F19" i="147"/>
  <c r="E19" i="147"/>
  <c r="D19" i="147"/>
  <c r="C19" i="147"/>
  <c r="B19" i="147"/>
  <c r="A19" i="147"/>
  <c r="H17" i="147"/>
  <c r="AA16" i="147"/>
  <c r="H16" i="147"/>
  <c r="G16" i="147"/>
  <c r="F16" i="147"/>
  <c r="E16" i="147"/>
  <c r="D16" i="147"/>
  <c r="C16" i="147"/>
  <c r="B16" i="147"/>
  <c r="A16" i="147"/>
  <c r="H14" i="147"/>
  <c r="AA13" i="147"/>
  <c r="H13" i="147"/>
  <c r="G13" i="147"/>
  <c r="F13" i="147"/>
  <c r="E13" i="147"/>
  <c r="D13" i="147"/>
  <c r="C13" i="147"/>
  <c r="B13" i="147"/>
  <c r="A13" i="147"/>
  <c r="H11" i="147"/>
  <c r="AA10" i="147"/>
  <c r="H10" i="147"/>
  <c r="G10" i="147"/>
  <c r="F10" i="147"/>
  <c r="E10" i="147"/>
  <c r="D10" i="147"/>
  <c r="C10" i="147"/>
  <c r="B10" i="147"/>
  <c r="A10" i="147"/>
  <c r="Z9" i="147"/>
  <c r="W9" i="147"/>
  <c r="V9" i="147"/>
  <c r="U9" i="147"/>
  <c r="T9" i="147"/>
  <c r="S9" i="147"/>
  <c r="R9" i="147"/>
  <c r="Q9" i="147"/>
  <c r="P9" i="147"/>
  <c r="O9" i="147"/>
  <c r="N9" i="147"/>
  <c r="M9" i="147"/>
  <c r="L9" i="147"/>
  <c r="K9" i="147"/>
  <c r="J9" i="147"/>
  <c r="I9" i="147"/>
  <c r="H9" i="147"/>
  <c r="G9" i="147"/>
  <c r="F9" i="147"/>
  <c r="E9" i="147"/>
  <c r="D9" i="147"/>
  <c r="C9" i="147"/>
  <c r="B9" i="147"/>
  <c r="I7" i="147"/>
  <c r="E7" i="147"/>
  <c r="B7" i="147"/>
  <c r="B6" i="147"/>
  <c r="A6" i="147"/>
  <c r="W2" i="147"/>
  <c r="A1" i="147"/>
  <c r="H26" i="145"/>
  <c r="AA25" i="145"/>
  <c r="H25" i="145"/>
  <c r="G25" i="145"/>
  <c r="F25" i="145"/>
  <c r="E25" i="145"/>
  <c r="D25" i="145"/>
  <c r="C25" i="145"/>
  <c r="B25" i="145"/>
  <c r="A25" i="145"/>
  <c r="H23" i="145"/>
  <c r="AA22" i="145"/>
  <c r="H22" i="145"/>
  <c r="G22" i="145"/>
  <c r="F22" i="145"/>
  <c r="E22" i="145"/>
  <c r="D22" i="145"/>
  <c r="C22" i="145"/>
  <c r="B22" i="145"/>
  <c r="A22" i="145"/>
  <c r="H20" i="145"/>
  <c r="AA19" i="145"/>
  <c r="H19" i="145"/>
  <c r="G19" i="145"/>
  <c r="F19" i="145"/>
  <c r="E19" i="145"/>
  <c r="D19" i="145"/>
  <c r="C19" i="145"/>
  <c r="B19" i="145"/>
  <c r="A19" i="145"/>
  <c r="H17" i="145"/>
  <c r="AA16" i="145"/>
  <c r="H16" i="145"/>
  <c r="G16" i="145"/>
  <c r="F16" i="145"/>
  <c r="E16" i="145"/>
  <c r="D16" i="145"/>
  <c r="C16" i="145"/>
  <c r="B16" i="145"/>
  <c r="A16" i="145"/>
  <c r="H14" i="145"/>
  <c r="AA13" i="145"/>
  <c r="H13" i="145"/>
  <c r="G13" i="145"/>
  <c r="F13" i="145"/>
  <c r="E13" i="145"/>
  <c r="D13" i="145"/>
  <c r="C13" i="145"/>
  <c r="B13" i="145"/>
  <c r="A13" i="145"/>
  <c r="H11" i="145"/>
  <c r="AA10" i="145"/>
  <c r="H10" i="145"/>
  <c r="G10" i="145"/>
  <c r="F10" i="145"/>
  <c r="E10" i="145"/>
  <c r="D10" i="145"/>
  <c r="C10" i="145"/>
  <c r="B10" i="145"/>
  <c r="A10" i="145"/>
  <c r="Z9" i="145"/>
  <c r="W9" i="145"/>
  <c r="V9" i="145"/>
  <c r="U9" i="145"/>
  <c r="T9" i="145"/>
  <c r="S9" i="145"/>
  <c r="R9" i="145"/>
  <c r="Q9" i="145"/>
  <c r="P9" i="145"/>
  <c r="O9" i="145"/>
  <c r="N9" i="145"/>
  <c r="M9" i="145"/>
  <c r="L9" i="145"/>
  <c r="K9" i="145"/>
  <c r="J9" i="145"/>
  <c r="I9" i="145"/>
  <c r="H9" i="145"/>
  <c r="G9" i="145"/>
  <c r="F9" i="145"/>
  <c r="E9" i="145"/>
  <c r="D9" i="145"/>
  <c r="C9" i="145"/>
  <c r="B9" i="145"/>
  <c r="I7" i="145"/>
  <c r="E7" i="145"/>
  <c r="B7" i="145"/>
  <c r="B6" i="145"/>
  <c r="A6" i="145"/>
  <c r="W2" i="145"/>
  <c r="A1" i="145"/>
  <c r="H26" i="144"/>
  <c r="AA25" i="144"/>
  <c r="H25" i="144"/>
  <c r="G25" i="144"/>
  <c r="F25" i="144"/>
  <c r="E25" i="144"/>
  <c r="D25" i="144"/>
  <c r="C25" i="144"/>
  <c r="B25" i="144"/>
  <c r="A25" i="144"/>
  <c r="H23" i="144"/>
  <c r="H22" i="144"/>
  <c r="G22" i="144"/>
  <c r="F22" i="144"/>
  <c r="E22" i="144"/>
  <c r="D22" i="144"/>
  <c r="C22" i="144"/>
  <c r="B22" i="144"/>
  <c r="A22" i="144"/>
  <c r="H20" i="144"/>
  <c r="AA19" i="144"/>
  <c r="H19" i="144"/>
  <c r="G19" i="144"/>
  <c r="F19" i="144"/>
  <c r="E19" i="144"/>
  <c r="D19" i="144"/>
  <c r="C19" i="144"/>
  <c r="B19" i="144"/>
  <c r="A19" i="144"/>
  <c r="H17" i="144"/>
  <c r="AA16" i="144"/>
  <c r="H16" i="144"/>
  <c r="G16" i="144"/>
  <c r="F16" i="144"/>
  <c r="E16" i="144"/>
  <c r="D16" i="144"/>
  <c r="C16" i="144"/>
  <c r="B16" i="144"/>
  <c r="A16" i="144"/>
  <c r="H14" i="144"/>
  <c r="AA13" i="144"/>
  <c r="H13" i="144"/>
  <c r="G13" i="144"/>
  <c r="F13" i="144"/>
  <c r="E13" i="144"/>
  <c r="D13" i="144"/>
  <c r="C13" i="144"/>
  <c r="B13" i="144"/>
  <c r="A13" i="144"/>
  <c r="H11" i="144"/>
  <c r="AA10" i="144"/>
  <c r="H10" i="144"/>
  <c r="G10" i="144"/>
  <c r="F10" i="144"/>
  <c r="E10" i="144"/>
  <c r="D10" i="144"/>
  <c r="C10" i="144"/>
  <c r="B10" i="144"/>
  <c r="A10" i="144"/>
  <c r="Z9" i="144"/>
  <c r="W9" i="144"/>
  <c r="V9" i="144"/>
  <c r="U9" i="144"/>
  <c r="T9" i="144"/>
  <c r="S9" i="144"/>
  <c r="R9" i="144"/>
  <c r="Q9" i="144"/>
  <c r="P9" i="144"/>
  <c r="O9" i="144"/>
  <c r="N9" i="144"/>
  <c r="M9" i="144"/>
  <c r="L9" i="144"/>
  <c r="K9" i="144"/>
  <c r="J9" i="144"/>
  <c r="I9" i="144"/>
  <c r="H9" i="144"/>
  <c r="G9" i="144"/>
  <c r="F9" i="144"/>
  <c r="E9" i="144"/>
  <c r="D9" i="144"/>
  <c r="C9" i="144"/>
  <c r="B9" i="144"/>
  <c r="E7" i="144"/>
  <c r="B7" i="144"/>
  <c r="B6" i="144"/>
  <c r="A6" i="144"/>
  <c r="W2" i="144"/>
  <c r="A1" i="144"/>
  <c r="AA22" i="29"/>
  <c r="AA16" i="71"/>
  <c r="AA19" i="71"/>
  <c r="AA10" i="29"/>
  <c r="H26" i="130"/>
  <c r="AA25" i="130"/>
  <c r="H25" i="130"/>
  <c r="G25" i="130"/>
  <c r="F25" i="130"/>
  <c r="E25" i="130"/>
  <c r="D25" i="130"/>
  <c r="C25" i="130"/>
  <c r="B25" i="130"/>
  <c r="A25" i="130"/>
  <c r="H23" i="130"/>
  <c r="AA22" i="130"/>
  <c r="H22" i="130"/>
  <c r="G22" i="130"/>
  <c r="F22" i="130"/>
  <c r="E22" i="130"/>
  <c r="D22" i="130"/>
  <c r="C22" i="130"/>
  <c r="B22" i="130"/>
  <c r="A22" i="130"/>
  <c r="H20" i="130"/>
  <c r="AA19" i="130"/>
  <c r="H19" i="130"/>
  <c r="G19" i="130"/>
  <c r="F19" i="130"/>
  <c r="E19" i="130"/>
  <c r="D19" i="130"/>
  <c r="C19" i="130"/>
  <c r="B19" i="130"/>
  <c r="A19" i="130"/>
  <c r="H17" i="130"/>
  <c r="AA16" i="130"/>
  <c r="H16" i="130"/>
  <c r="G16" i="130"/>
  <c r="F16" i="130"/>
  <c r="E16" i="130"/>
  <c r="D16" i="130"/>
  <c r="C16" i="130"/>
  <c r="B16" i="130"/>
  <c r="A16" i="130"/>
  <c r="H14" i="130"/>
  <c r="AA13" i="130"/>
  <c r="H13" i="130"/>
  <c r="G13" i="130"/>
  <c r="F13" i="130"/>
  <c r="E13" i="130"/>
  <c r="D13" i="130"/>
  <c r="C13" i="130"/>
  <c r="B13" i="130"/>
  <c r="A13" i="130"/>
  <c r="H11" i="130"/>
  <c r="AA10" i="130"/>
  <c r="H10" i="130"/>
  <c r="G10" i="130"/>
  <c r="F10" i="130"/>
  <c r="E10" i="130"/>
  <c r="D10" i="130"/>
  <c r="C10" i="130"/>
  <c r="B10" i="130"/>
  <c r="A10" i="130"/>
  <c r="Z9" i="130"/>
  <c r="W9" i="130"/>
  <c r="V9" i="130"/>
  <c r="U9" i="130"/>
  <c r="T9" i="130"/>
  <c r="S9" i="130"/>
  <c r="R9" i="130"/>
  <c r="Q9" i="130"/>
  <c r="P9" i="130"/>
  <c r="O9" i="130"/>
  <c r="N9" i="130"/>
  <c r="M9" i="130"/>
  <c r="L9" i="130"/>
  <c r="K9" i="130"/>
  <c r="J9" i="130"/>
  <c r="I9" i="130"/>
  <c r="H9" i="130"/>
  <c r="G9" i="130"/>
  <c r="F9" i="130"/>
  <c r="E9" i="130"/>
  <c r="D9" i="130"/>
  <c r="C9" i="130"/>
  <c r="B9" i="130"/>
  <c r="I7" i="130"/>
  <c r="E7" i="130"/>
  <c r="B7" i="130"/>
  <c r="B6" i="130"/>
  <c r="A6" i="130"/>
  <c r="H26" i="126"/>
  <c r="AA25" i="126"/>
  <c r="H25" i="126"/>
  <c r="G25" i="126"/>
  <c r="F25" i="126"/>
  <c r="E25" i="126"/>
  <c r="D25" i="126"/>
  <c r="C25" i="126"/>
  <c r="B25" i="126"/>
  <c r="A25" i="126"/>
  <c r="H23" i="126"/>
  <c r="AA22" i="126"/>
  <c r="H22" i="126"/>
  <c r="G22" i="126"/>
  <c r="F22" i="126"/>
  <c r="E22" i="126"/>
  <c r="D22" i="126"/>
  <c r="C22" i="126"/>
  <c r="B22" i="126"/>
  <c r="A22" i="126"/>
  <c r="H20" i="126"/>
  <c r="AA19" i="126"/>
  <c r="H19" i="126"/>
  <c r="G19" i="126"/>
  <c r="F19" i="126"/>
  <c r="E19" i="126"/>
  <c r="D19" i="126"/>
  <c r="C19" i="126"/>
  <c r="B19" i="126"/>
  <c r="A19" i="126"/>
  <c r="H17" i="126"/>
  <c r="AA16" i="126"/>
  <c r="H16" i="126"/>
  <c r="G16" i="126"/>
  <c r="F16" i="126"/>
  <c r="E16" i="126"/>
  <c r="D16" i="126"/>
  <c r="C16" i="126"/>
  <c r="B16" i="126"/>
  <c r="A16" i="126"/>
  <c r="H14" i="126"/>
  <c r="AA13" i="126"/>
  <c r="H13" i="126"/>
  <c r="G13" i="126"/>
  <c r="F13" i="126"/>
  <c r="E13" i="126"/>
  <c r="D13" i="126"/>
  <c r="C13" i="126"/>
  <c r="B13" i="126"/>
  <c r="A13" i="126"/>
  <c r="H11" i="126"/>
  <c r="AA10" i="126"/>
  <c r="H10" i="126"/>
  <c r="G10" i="126"/>
  <c r="F10" i="126"/>
  <c r="E10" i="126"/>
  <c r="D10" i="126"/>
  <c r="C10" i="126"/>
  <c r="B10" i="126"/>
  <c r="A10" i="126"/>
  <c r="Z9" i="126"/>
  <c r="W9" i="126"/>
  <c r="V9" i="126"/>
  <c r="U9" i="126"/>
  <c r="T9" i="126"/>
  <c r="S9" i="126"/>
  <c r="R9" i="126"/>
  <c r="Q9" i="126"/>
  <c r="P9" i="126"/>
  <c r="O9" i="126"/>
  <c r="N9" i="126"/>
  <c r="M9" i="126"/>
  <c r="L9" i="126"/>
  <c r="K9" i="126"/>
  <c r="J9" i="126"/>
  <c r="I9" i="126"/>
  <c r="H9" i="126"/>
  <c r="G9" i="126"/>
  <c r="F9" i="126"/>
  <c r="E9" i="126"/>
  <c r="D9" i="126"/>
  <c r="C9" i="126"/>
  <c r="B9" i="126"/>
  <c r="I7" i="126"/>
  <c r="E7" i="126"/>
  <c r="B7" i="126"/>
  <c r="B6" i="126"/>
  <c r="A6" i="126"/>
  <c r="H26" i="125"/>
  <c r="AA25" i="125"/>
  <c r="AA24" i="14" s="1"/>
  <c r="H25" i="125"/>
  <c r="G25" i="125"/>
  <c r="F25" i="125"/>
  <c r="E25" i="125"/>
  <c r="D25" i="125"/>
  <c r="C25" i="125"/>
  <c r="B25" i="125"/>
  <c r="A25" i="125"/>
  <c r="H23" i="125"/>
  <c r="AA22" i="125"/>
  <c r="AA21" i="14" s="1"/>
  <c r="H22" i="125"/>
  <c r="G22" i="125"/>
  <c r="F22" i="125"/>
  <c r="E22" i="125"/>
  <c r="D22" i="125"/>
  <c r="C22" i="125"/>
  <c r="B22" i="125"/>
  <c r="A22" i="125"/>
  <c r="H20" i="125"/>
  <c r="AA19" i="125"/>
  <c r="AA18" i="14" s="1"/>
  <c r="H19" i="125"/>
  <c r="G19" i="125"/>
  <c r="F19" i="125"/>
  <c r="E19" i="125"/>
  <c r="D19" i="125"/>
  <c r="C19" i="125"/>
  <c r="B19" i="125"/>
  <c r="A19" i="125"/>
  <c r="H17" i="125"/>
  <c r="AA16" i="125"/>
  <c r="H16" i="125"/>
  <c r="G16" i="125"/>
  <c r="F16" i="125"/>
  <c r="E16" i="125"/>
  <c r="D16" i="125"/>
  <c r="C16" i="125"/>
  <c r="B16" i="125"/>
  <c r="A16" i="125"/>
  <c r="H14" i="125"/>
  <c r="AA13" i="125"/>
  <c r="AA12" i="14" s="1"/>
  <c r="H13" i="125"/>
  <c r="G13" i="125"/>
  <c r="F13" i="125"/>
  <c r="E13" i="125"/>
  <c r="D13" i="125"/>
  <c r="C13" i="125"/>
  <c r="B13" i="125"/>
  <c r="A13" i="125"/>
  <c r="H11" i="125"/>
  <c r="AA10" i="125"/>
  <c r="AA9" i="14" s="1"/>
  <c r="H10" i="125"/>
  <c r="G10" i="125"/>
  <c r="F10" i="125"/>
  <c r="E10" i="125"/>
  <c r="D10" i="125"/>
  <c r="C10" i="125"/>
  <c r="B10" i="125"/>
  <c r="A10" i="125"/>
  <c r="Z9" i="125"/>
  <c r="W9" i="125"/>
  <c r="V9" i="125"/>
  <c r="U9" i="125"/>
  <c r="T9" i="125"/>
  <c r="S9" i="125"/>
  <c r="R9" i="125"/>
  <c r="Q9" i="125"/>
  <c r="P9" i="125"/>
  <c r="O9" i="125"/>
  <c r="N9" i="125"/>
  <c r="M9" i="125"/>
  <c r="L9" i="125"/>
  <c r="K9" i="125"/>
  <c r="J9" i="125"/>
  <c r="I9" i="125"/>
  <c r="H9" i="125"/>
  <c r="G9" i="125"/>
  <c r="F9" i="125"/>
  <c r="E9" i="125"/>
  <c r="D9" i="125"/>
  <c r="C9" i="125"/>
  <c r="B9" i="125"/>
  <c r="I7" i="125"/>
  <c r="E7" i="125"/>
  <c r="B7" i="125"/>
  <c r="B6" i="125"/>
  <c r="A6" i="125"/>
  <c r="H26" i="123"/>
  <c r="AA25" i="123"/>
  <c r="H25" i="123"/>
  <c r="G25" i="123"/>
  <c r="F25" i="123"/>
  <c r="E25" i="123"/>
  <c r="D25" i="123"/>
  <c r="C25" i="123"/>
  <c r="B25" i="123"/>
  <c r="A25" i="123"/>
  <c r="H23" i="123"/>
  <c r="AA22" i="123"/>
  <c r="H22" i="123"/>
  <c r="G22" i="123"/>
  <c r="F22" i="123"/>
  <c r="E22" i="123"/>
  <c r="D22" i="123"/>
  <c r="C22" i="123"/>
  <c r="B22" i="123"/>
  <c r="A22" i="123"/>
  <c r="H20" i="123"/>
  <c r="AA19" i="123"/>
  <c r="H19" i="123"/>
  <c r="G19" i="123"/>
  <c r="F19" i="123"/>
  <c r="E19" i="123"/>
  <c r="D19" i="123"/>
  <c r="C19" i="123"/>
  <c r="B19" i="123"/>
  <c r="A19" i="123"/>
  <c r="H17" i="123"/>
  <c r="AA16" i="123"/>
  <c r="H16" i="123"/>
  <c r="G16" i="123"/>
  <c r="F16" i="123"/>
  <c r="E16" i="123"/>
  <c r="D16" i="123"/>
  <c r="C16" i="123"/>
  <c r="B16" i="123"/>
  <c r="A16" i="123"/>
  <c r="H14" i="123"/>
  <c r="AA13" i="123"/>
  <c r="H13" i="123"/>
  <c r="G13" i="123"/>
  <c r="F13" i="123"/>
  <c r="E13" i="123"/>
  <c r="D13" i="123"/>
  <c r="C13" i="123"/>
  <c r="B13" i="123"/>
  <c r="A13" i="123"/>
  <c r="H11" i="123"/>
  <c r="AA10" i="123"/>
  <c r="H10" i="123"/>
  <c r="G10" i="123"/>
  <c r="F10" i="123"/>
  <c r="E10" i="123"/>
  <c r="D10" i="123"/>
  <c r="C10" i="123"/>
  <c r="B10" i="123"/>
  <c r="A10" i="123"/>
  <c r="Z9" i="123"/>
  <c r="W9" i="123"/>
  <c r="V9" i="123"/>
  <c r="U9" i="123"/>
  <c r="T9" i="123"/>
  <c r="S9" i="123"/>
  <c r="R9" i="123"/>
  <c r="Q9" i="123"/>
  <c r="P9" i="123"/>
  <c r="O9" i="123"/>
  <c r="N9" i="123"/>
  <c r="M9" i="123"/>
  <c r="L9" i="123"/>
  <c r="K9" i="123"/>
  <c r="J9" i="123"/>
  <c r="I9" i="123"/>
  <c r="H9" i="123"/>
  <c r="G9" i="123"/>
  <c r="F9" i="123"/>
  <c r="E9" i="123"/>
  <c r="D9" i="123"/>
  <c r="C9" i="123"/>
  <c r="B9" i="123"/>
  <c r="I7" i="123"/>
  <c r="E7" i="123"/>
  <c r="B7" i="123"/>
  <c r="B6" i="123"/>
  <c r="A6" i="123"/>
  <c r="H26" i="122"/>
  <c r="AA25" i="122"/>
  <c r="Y24" i="14" s="1"/>
  <c r="H25" i="122"/>
  <c r="G25" i="122"/>
  <c r="F25" i="122"/>
  <c r="E25" i="122"/>
  <c r="D25" i="122"/>
  <c r="C25" i="122"/>
  <c r="B25" i="122"/>
  <c r="A25" i="122"/>
  <c r="H23" i="122"/>
  <c r="AA22" i="122"/>
  <c r="Y21" i="14" s="1"/>
  <c r="H22" i="122"/>
  <c r="G22" i="122"/>
  <c r="F22" i="122"/>
  <c r="E22" i="122"/>
  <c r="D22" i="122"/>
  <c r="C22" i="122"/>
  <c r="B22" i="122"/>
  <c r="A22" i="122"/>
  <c r="H20" i="122"/>
  <c r="AA19" i="122"/>
  <c r="Y18" i="14" s="1"/>
  <c r="H19" i="122"/>
  <c r="G19" i="122"/>
  <c r="F19" i="122"/>
  <c r="E19" i="122"/>
  <c r="D19" i="122"/>
  <c r="C19" i="122"/>
  <c r="B19" i="122"/>
  <c r="A19" i="122"/>
  <c r="H17" i="122"/>
  <c r="AA16" i="122"/>
  <c r="Y15" i="14" s="1"/>
  <c r="H16" i="122"/>
  <c r="G16" i="122"/>
  <c r="F16" i="122"/>
  <c r="E16" i="122"/>
  <c r="D16" i="122"/>
  <c r="C16" i="122"/>
  <c r="B16" i="122"/>
  <c r="A16" i="122"/>
  <c r="H14" i="122"/>
  <c r="AA13" i="122"/>
  <c r="Y12" i="14" s="1"/>
  <c r="H13" i="122"/>
  <c r="G13" i="122"/>
  <c r="F13" i="122"/>
  <c r="E13" i="122"/>
  <c r="D13" i="122"/>
  <c r="C13" i="122"/>
  <c r="B13" i="122"/>
  <c r="A13" i="122"/>
  <c r="H11" i="122"/>
  <c r="AA10" i="122"/>
  <c r="Y9" i="14" s="1"/>
  <c r="H10" i="122"/>
  <c r="G10" i="122"/>
  <c r="F10" i="122"/>
  <c r="E10" i="122"/>
  <c r="D10" i="122"/>
  <c r="C10" i="122"/>
  <c r="B10" i="122"/>
  <c r="A10" i="122"/>
  <c r="Z9" i="122"/>
  <c r="W9" i="122"/>
  <c r="V9" i="122"/>
  <c r="U9" i="122"/>
  <c r="T9" i="122"/>
  <c r="S9" i="122"/>
  <c r="R9" i="122"/>
  <c r="Q9" i="122"/>
  <c r="P9" i="122"/>
  <c r="O9" i="122"/>
  <c r="N9" i="122"/>
  <c r="M9" i="122"/>
  <c r="L9" i="122"/>
  <c r="K9" i="122"/>
  <c r="J9" i="122"/>
  <c r="I9" i="122"/>
  <c r="H9" i="122"/>
  <c r="G9" i="122"/>
  <c r="F9" i="122"/>
  <c r="E9" i="122"/>
  <c r="D9" i="122"/>
  <c r="C9" i="122"/>
  <c r="B9" i="122"/>
  <c r="I7" i="122"/>
  <c r="E7" i="122"/>
  <c r="B7" i="122"/>
  <c r="B6" i="122"/>
  <c r="A6" i="122"/>
  <c r="H26" i="92"/>
  <c r="AA25" i="92"/>
  <c r="H25" i="92"/>
  <c r="G25" i="92"/>
  <c r="F25" i="92"/>
  <c r="E25" i="92"/>
  <c r="D25" i="92"/>
  <c r="C25" i="92"/>
  <c r="B25" i="92"/>
  <c r="A25" i="92"/>
  <c r="H23" i="92"/>
  <c r="AA22" i="92"/>
  <c r="H22" i="92"/>
  <c r="G22" i="92"/>
  <c r="F22" i="92"/>
  <c r="E22" i="92"/>
  <c r="D22" i="92"/>
  <c r="C22" i="92"/>
  <c r="B22" i="92"/>
  <c r="A22" i="92"/>
  <c r="H20" i="92"/>
  <c r="AA19" i="92"/>
  <c r="H19" i="92"/>
  <c r="G19" i="92"/>
  <c r="F19" i="92"/>
  <c r="E19" i="92"/>
  <c r="D19" i="92"/>
  <c r="C19" i="92"/>
  <c r="B19" i="92"/>
  <c r="A19" i="92"/>
  <c r="H17" i="92"/>
  <c r="AA16" i="92"/>
  <c r="H16" i="92"/>
  <c r="G16" i="92"/>
  <c r="F16" i="92"/>
  <c r="E16" i="92"/>
  <c r="D16" i="92"/>
  <c r="C16" i="92"/>
  <c r="B16" i="92"/>
  <c r="A16" i="92"/>
  <c r="H14" i="92"/>
  <c r="AA13" i="92"/>
  <c r="H13" i="92"/>
  <c r="G13" i="92"/>
  <c r="F13" i="92"/>
  <c r="E13" i="92"/>
  <c r="D13" i="92"/>
  <c r="C13" i="92"/>
  <c r="B13" i="92"/>
  <c r="A13" i="92"/>
  <c r="H11" i="92"/>
  <c r="AA10" i="92"/>
  <c r="H10" i="92"/>
  <c r="G10" i="92"/>
  <c r="F10" i="92"/>
  <c r="E10" i="92"/>
  <c r="D10" i="92"/>
  <c r="C10" i="92"/>
  <c r="B10" i="92"/>
  <c r="A10" i="92"/>
  <c r="Z9" i="92"/>
  <c r="W9" i="92"/>
  <c r="V9" i="92"/>
  <c r="U9" i="92"/>
  <c r="T9" i="92"/>
  <c r="S9" i="92"/>
  <c r="R9" i="92"/>
  <c r="Q9" i="92"/>
  <c r="P9" i="92"/>
  <c r="O9" i="92"/>
  <c r="N9" i="92"/>
  <c r="M9" i="92"/>
  <c r="L9" i="92"/>
  <c r="K9" i="92"/>
  <c r="J9" i="92"/>
  <c r="I9" i="92"/>
  <c r="H9" i="92"/>
  <c r="G9" i="92"/>
  <c r="F9" i="92"/>
  <c r="E9" i="92"/>
  <c r="D9" i="92"/>
  <c r="C9" i="92"/>
  <c r="B9" i="92"/>
  <c r="I7" i="92"/>
  <c r="E7" i="92"/>
  <c r="B7" i="92"/>
  <c r="B6" i="92"/>
  <c r="A6" i="92"/>
  <c r="H26" i="91"/>
  <c r="AA25" i="91"/>
  <c r="H25" i="91"/>
  <c r="G25" i="91"/>
  <c r="F25" i="91"/>
  <c r="E25" i="91"/>
  <c r="D25" i="91"/>
  <c r="C25" i="91"/>
  <c r="B25" i="91"/>
  <c r="A25" i="91"/>
  <c r="H23" i="91"/>
  <c r="AA22" i="91"/>
  <c r="W21" i="14" s="1"/>
  <c r="H22" i="91"/>
  <c r="G22" i="91"/>
  <c r="F22" i="91"/>
  <c r="E22" i="91"/>
  <c r="D22" i="91"/>
  <c r="C22" i="91"/>
  <c r="B22" i="91"/>
  <c r="A22" i="91"/>
  <c r="H20" i="91"/>
  <c r="AA19" i="91"/>
  <c r="W18" i="14" s="1"/>
  <c r="H19" i="91"/>
  <c r="G19" i="91"/>
  <c r="F19" i="91"/>
  <c r="E19" i="91"/>
  <c r="D19" i="91"/>
  <c r="C19" i="91"/>
  <c r="B19" i="91"/>
  <c r="A19" i="91"/>
  <c r="H17" i="91"/>
  <c r="AA16" i="91"/>
  <c r="W15" i="14" s="1"/>
  <c r="H16" i="91"/>
  <c r="G16" i="91"/>
  <c r="F16" i="91"/>
  <c r="E16" i="91"/>
  <c r="D16" i="91"/>
  <c r="C16" i="91"/>
  <c r="B16" i="91"/>
  <c r="A16" i="91"/>
  <c r="H14" i="91"/>
  <c r="AA13" i="91"/>
  <c r="W12" i="14" s="1"/>
  <c r="H13" i="91"/>
  <c r="G13" i="91"/>
  <c r="F13" i="91"/>
  <c r="E13" i="91"/>
  <c r="D13" i="91"/>
  <c r="C13" i="91"/>
  <c r="B13" i="91"/>
  <c r="A13" i="91"/>
  <c r="H11" i="91"/>
  <c r="AA10" i="91"/>
  <c r="W9" i="14" s="1"/>
  <c r="H10" i="91"/>
  <c r="G10" i="91"/>
  <c r="F10" i="91"/>
  <c r="E10" i="91"/>
  <c r="D10" i="91"/>
  <c r="C10" i="91"/>
  <c r="B10" i="91"/>
  <c r="A10" i="91"/>
  <c r="Z9" i="91"/>
  <c r="W9" i="91"/>
  <c r="V9" i="91"/>
  <c r="U9" i="91"/>
  <c r="T9" i="91"/>
  <c r="S9" i="91"/>
  <c r="R9" i="91"/>
  <c r="Q9" i="91"/>
  <c r="P9" i="91"/>
  <c r="O9" i="91"/>
  <c r="N9" i="91"/>
  <c r="M9" i="91"/>
  <c r="L9" i="91"/>
  <c r="K9" i="91"/>
  <c r="J9" i="91"/>
  <c r="I9" i="91"/>
  <c r="H9" i="91"/>
  <c r="G9" i="91"/>
  <c r="F9" i="91"/>
  <c r="E9" i="91"/>
  <c r="D9" i="91"/>
  <c r="C9" i="91"/>
  <c r="B9" i="91"/>
  <c r="I7" i="91"/>
  <c r="E7" i="91"/>
  <c r="B7" i="91"/>
  <c r="B6" i="91"/>
  <c r="A6" i="91"/>
  <c r="H26" i="90"/>
  <c r="AA25" i="90"/>
  <c r="H25" i="90"/>
  <c r="G25" i="90"/>
  <c r="F25" i="90"/>
  <c r="E25" i="90"/>
  <c r="D25" i="90"/>
  <c r="C25" i="90"/>
  <c r="B25" i="90"/>
  <c r="A25" i="90"/>
  <c r="H23" i="90"/>
  <c r="AA22" i="90"/>
  <c r="H22" i="90"/>
  <c r="G22" i="90"/>
  <c r="F22" i="90"/>
  <c r="E22" i="90"/>
  <c r="D22" i="90"/>
  <c r="C22" i="90"/>
  <c r="B22" i="90"/>
  <c r="A22" i="90"/>
  <c r="H20" i="90"/>
  <c r="AA19" i="90"/>
  <c r="H19" i="90"/>
  <c r="G19" i="90"/>
  <c r="F19" i="90"/>
  <c r="E19" i="90"/>
  <c r="D19" i="90"/>
  <c r="C19" i="90"/>
  <c r="B19" i="90"/>
  <c r="A19" i="90"/>
  <c r="H17" i="90"/>
  <c r="AA16" i="90"/>
  <c r="H16" i="90"/>
  <c r="G16" i="90"/>
  <c r="F16" i="90"/>
  <c r="E16" i="90"/>
  <c r="D16" i="90"/>
  <c r="C16" i="90"/>
  <c r="B16" i="90"/>
  <c r="A16" i="90"/>
  <c r="H14" i="90"/>
  <c r="AA13" i="90"/>
  <c r="H13" i="90"/>
  <c r="G13" i="90"/>
  <c r="F13" i="90"/>
  <c r="E13" i="90"/>
  <c r="D13" i="90"/>
  <c r="C13" i="90"/>
  <c r="B13" i="90"/>
  <c r="A13" i="90"/>
  <c r="H11" i="90"/>
  <c r="AA10" i="90"/>
  <c r="H10" i="90"/>
  <c r="G10" i="90"/>
  <c r="F10" i="90"/>
  <c r="E10" i="90"/>
  <c r="D10" i="90"/>
  <c r="C10" i="90"/>
  <c r="B10" i="90"/>
  <c r="A10" i="90"/>
  <c r="Z9" i="90"/>
  <c r="W9" i="90"/>
  <c r="V9" i="90"/>
  <c r="U9" i="90"/>
  <c r="T9" i="90"/>
  <c r="S9" i="90"/>
  <c r="R9" i="90"/>
  <c r="Q9" i="90"/>
  <c r="P9" i="90"/>
  <c r="O9" i="90"/>
  <c r="N9" i="90"/>
  <c r="M9" i="90"/>
  <c r="L9" i="90"/>
  <c r="K9" i="90"/>
  <c r="J9" i="90"/>
  <c r="I9" i="90"/>
  <c r="H9" i="90"/>
  <c r="G9" i="90"/>
  <c r="F9" i="90"/>
  <c r="E9" i="90"/>
  <c r="D9" i="90"/>
  <c r="C9" i="90"/>
  <c r="B9" i="90"/>
  <c r="I7" i="90"/>
  <c r="E7" i="90"/>
  <c r="B7" i="90"/>
  <c r="B6" i="90"/>
  <c r="A6" i="90"/>
  <c r="H26" i="89"/>
  <c r="AA25" i="89"/>
  <c r="H25" i="89"/>
  <c r="G25" i="89"/>
  <c r="F25" i="89"/>
  <c r="E25" i="89"/>
  <c r="D25" i="89"/>
  <c r="C25" i="89"/>
  <c r="B25" i="89"/>
  <c r="A25" i="89"/>
  <c r="H23" i="89"/>
  <c r="AA22" i="89"/>
  <c r="H22" i="89"/>
  <c r="G22" i="89"/>
  <c r="F22" i="89"/>
  <c r="E22" i="89"/>
  <c r="D22" i="89"/>
  <c r="C22" i="89"/>
  <c r="B22" i="89"/>
  <c r="A22" i="89"/>
  <c r="H20" i="89"/>
  <c r="AA19" i="89"/>
  <c r="H19" i="89"/>
  <c r="G19" i="89"/>
  <c r="F19" i="89"/>
  <c r="E19" i="89"/>
  <c r="D19" i="89"/>
  <c r="C19" i="89"/>
  <c r="B19" i="89"/>
  <c r="A19" i="89"/>
  <c r="H17" i="89"/>
  <c r="AA16" i="89"/>
  <c r="H16" i="89"/>
  <c r="G16" i="89"/>
  <c r="F16" i="89"/>
  <c r="E16" i="89"/>
  <c r="D16" i="89"/>
  <c r="C16" i="89"/>
  <c r="B16" i="89"/>
  <c r="A16" i="89"/>
  <c r="H14" i="89"/>
  <c r="AA13" i="89"/>
  <c r="H13" i="89"/>
  <c r="G13" i="89"/>
  <c r="F13" i="89"/>
  <c r="E13" i="89"/>
  <c r="D13" i="89"/>
  <c r="C13" i="89"/>
  <c r="B13" i="89"/>
  <c r="A13" i="89"/>
  <c r="H11" i="89"/>
  <c r="AA10" i="89"/>
  <c r="H10" i="89"/>
  <c r="G10" i="89"/>
  <c r="F10" i="89"/>
  <c r="E10" i="89"/>
  <c r="D10" i="89"/>
  <c r="C10" i="89"/>
  <c r="B10" i="89"/>
  <c r="A10" i="89"/>
  <c r="Z9" i="89"/>
  <c r="W9" i="89"/>
  <c r="V9" i="89"/>
  <c r="U9" i="89"/>
  <c r="T9" i="89"/>
  <c r="S9" i="89"/>
  <c r="R9" i="89"/>
  <c r="Q9" i="89"/>
  <c r="P9" i="89"/>
  <c r="O9" i="89"/>
  <c r="N9" i="89"/>
  <c r="M9" i="89"/>
  <c r="L9" i="89"/>
  <c r="K9" i="89"/>
  <c r="J9" i="89"/>
  <c r="I9" i="89"/>
  <c r="H9" i="89"/>
  <c r="G9" i="89"/>
  <c r="F9" i="89"/>
  <c r="E9" i="89"/>
  <c r="D9" i="89"/>
  <c r="C9" i="89"/>
  <c r="B9" i="89"/>
  <c r="I7" i="89"/>
  <c r="E7" i="89"/>
  <c r="B7" i="89"/>
  <c r="B6" i="89"/>
  <c r="A6" i="89"/>
  <c r="H26" i="88"/>
  <c r="AA25" i="88"/>
  <c r="H25" i="88"/>
  <c r="G25" i="88"/>
  <c r="F25" i="88"/>
  <c r="E25" i="88"/>
  <c r="D25" i="88"/>
  <c r="C25" i="88"/>
  <c r="B25" i="88"/>
  <c r="A25" i="88"/>
  <c r="H23" i="88"/>
  <c r="AA22" i="88"/>
  <c r="H22" i="88"/>
  <c r="G22" i="88"/>
  <c r="F22" i="88"/>
  <c r="E22" i="88"/>
  <c r="D22" i="88"/>
  <c r="C22" i="88"/>
  <c r="B22" i="88"/>
  <c r="A22" i="88"/>
  <c r="H20" i="88"/>
  <c r="AA19" i="88"/>
  <c r="H19" i="88"/>
  <c r="G19" i="88"/>
  <c r="F19" i="88"/>
  <c r="E19" i="88"/>
  <c r="D19" i="88"/>
  <c r="C19" i="88"/>
  <c r="B19" i="88"/>
  <c r="A19" i="88"/>
  <c r="H17" i="88"/>
  <c r="AA16" i="88"/>
  <c r="H16" i="88"/>
  <c r="G16" i="88"/>
  <c r="F16" i="88"/>
  <c r="E16" i="88"/>
  <c r="D16" i="88"/>
  <c r="C16" i="88"/>
  <c r="B16" i="88"/>
  <c r="A16" i="88"/>
  <c r="H14" i="88"/>
  <c r="AA13" i="88"/>
  <c r="H13" i="88"/>
  <c r="G13" i="88"/>
  <c r="F13" i="88"/>
  <c r="E13" i="88"/>
  <c r="D13" i="88"/>
  <c r="C13" i="88"/>
  <c r="B13" i="88"/>
  <c r="A13" i="88"/>
  <c r="H11" i="88"/>
  <c r="AA10" i="88"/>
  <c r="H10" i="88"/>
  <c r="G10" i="88"/>
  <c r="F10" i="88"/>
  <c r="E10" i="88"/>
  <c r="D10" i="88"/>
  <c r="C10" i="88"/>
  <c r="B10" i="88"/>
  <c r="A10" i="88"/>
  <c r="Z9" i="88"/>
  <c r="W9" i="88"/>
  <c r="V9" i="88"/>
  <c r="U9" i="88"/>
  <c r="T9" i="88"/>
  <c r="S9" i="88"/>
  <c r="R9" i="88"/>
  <c r="Q9" i="88"/>
  <c r="P9" i="88"/>
  <c r="O9" i="88"/>
  <c r="N9" i="88"/>
  <c r="M9" i="88"/>
  <c r="L9" i="88"/>
  <c r="K9" i="88"/>
  <c r="J9" i="88"/>
  <c r="I9" i="88"/>
  <c r="H9" i="88"/>
  <c r="G9" i="88"/>
  <c r="F9" i="88"/>
  <c r="E9" i="88"/>
  <c r="D9" i="88"/>
  <c r="C9" i="88"/>
  <c r="B9" i="88"/>
  <c r="I7" i="88"/>
  <c r="E7" i="88"/>
  <c r="B7" i="88"/>
  <c r="B6" i="88"/>
  <c r="A6" i="88"/>
  <c r="H26" i="87"/>
  <c r="AA25" i="87"/>
  <c r="U24" i="14" s="1"/>
  <c r="H25" i="87"/>
  <c r="G25" i="87"/>
  <c r="F25" i="87"/>
  <c r="E25" i="87"/>
  <c r="D25" i="87"/>
  <c r="C25" i="87"/>
  <c r="B25" i="87"/>
  <c r="A25" i="87"/>
  <c r="H23" i="87"/>
  <c r="AA22" i="87"/>
  <c r="H22" i="87"/>
  <c r="G22" i="87"/>
  <c r="F22" i="87"/>
  <c r="E22" i="87"/>
  <c r="D22" i="87"/>
  <c r="C22" i="87"/>
  <c r="B22" i="87"/>
  <c r="A22" i="87"/>
  <c r="H20" i="87"/>
  <c r="AA19" i="87"/>
  <c r="H19" i="87"/>
  <c r="G19" i="87"/>
  <c r="F19" i="87"/>
  <c r="E19" i="87"/>
  <c r="D19" i="87"/>
  <c r="C19" i="87"/>
  <c r="B19" i="87"/>
  <c r="A19" i="87"/>
  <c r="H17" i="87"/>
  <c r="AA16" i="87"/>
  <c r="H16" i="87"/>
  <c r="G16" i="87"/>
  <c r="F16" i="87"/>
  <c r="E16" i="87"/>
  <c r="D16" i="87"/>
  <c r="C16" i="87"/>
  <c r="B16" i="87"/>
  <c r="A16" i="87"/>
  <c r="H14" i="87"/>
  <c r="AA13" i="87"/>
  <c r="U12" i="14" s="1"/>
  <c r="H13" i="87"/>
  <c r="G13" i="87"/>
  <c r="F13" i="87"/>
  <c r="E13" i="87"/>
  <c r="D13" i="87"/>
  <c r="C13" i="87"/>
  <c r="B13" i="87"/>
  <c r="A13" i="87"/>
  <c r="H11" i="87"/>
  <c r="AA10" i="87"/>
  <c r="H10" i="87"/>
  <c r="G10" i="87"/>
  <c r="F10" i="87"/>
  <c r="E10" i="87"/>
  <c r="D10" i="87"/>
  <c r="C10" i="87"/>
  <c r="B10" i="87"/>
  <c r="A10" i="87"/>
  <c r="Z9" i="87"/>
  <c r="W9" i="87"/>
  <c r="V9" i="87"/>
  <c r="U9" i="87"/>
  <c r="T9" i="87"/>
  <c r="S9" i="87"/>
  <c r="R9" i="87"/>
  <c r="Q9" i="87"/>
  <c r="P9" i="87"/>
  <c r="O9" i="87"/>
  <c r="N9" i="87"/>
  <c r="M9" i="87"/>
  <c r="L9" i="87"/>
  <c r="K9" i="87"/>
  <c r="J9" i="87"/>
  <c r="I9" i="87"/>
  <c r="H9" i="87"/>
  <c r="G9" i="87"/>
  <c r="F9" i="87"/>
  <c r="E9" i="87"/>
  <c r="D9" i="87"/>
  <c r="C9" i="87"/>
  <c r="B9" i="87"/>
  <c r="I7" i="87"/>
  <c r="E7" i="87"/>
  <c r="B7" i="87"/>
  <c r="B6" i="87"/>
  <c r="A6" i="87"/>
  <c r="H26" i="84"/>
  <c r="AA25" i="84"/>
  <c r="H25" i="84"/>
  <c r="G25" i="84"/>
  <c r="F25" i="84"/>
  <c r="E25" i="84"/>
  <c r="D25" i="84"/>
  <c r="C25" i="84"/>
  <c r="B25" i="84"/>
  <c r="A25" i="84"/>
  <c r="H23" i="84"/>
  <c r="AA22" i="84"/>
  <c r="H22" i="84"/>
  <c r="G22" i="84"/>
  <c r="F22" i="84"/>
  <c r="E22" i="84"/>
  <c r="D22" i="84"/>
  <c r="C22" i="84"/>
  <c r="B22" i="84"/>
  <c r="A22" i="84"/>
  <c r="H20" i="84"/>
  <c r="AA19" i="84"/>
  <c r="H19" i="84"/>
  <c r="G19" i="84"/>
  <c r="F19" i="84"/>
  <c r="E19" i="84"/>
  <c r="D19" i="84"/>
  <c r="C19" i="84"/>
  <c r="B19" i="84"/>
  <c r="A19" i="84"/>
  <c r="H17" i="84"/>
  <c r="AA16" i="84"/>
  <c r="H16" i="84"/>
  <c r="G16" i="84"/>
  <c r="F16" i="84"/>
  <c r="E16" i="84"/>
  <c r="D16" i="84"/>
  <c r="C16" i="84"/>
  <c r="B16" i="84"/>
  <c r="A16" i="84"/>
  <c r="H14" i="84"/>
  <c r="AA13" i="84"/>
  <c r="H13" i="84"/>
  <c r="G13" i="84"/>
  <c r="F13" i="84"/>
  <c r="E13" i="84"/>
  <c r="D13" i="84"/>
  <c r="C13" i="84"/>
  <c r="B13" i="84"/>
  <c r="A13" i="84"/>
  <c r="H11" i="84"/>
  <c r="AA10" i="84"/>
  <c r="H10" i="84"/>
  <c r="G10" i="84"/>
  <c r="F10" i="84"/>
  <c r="E10" i="84"/>
  <c r="D10" i="84"/>
  <c r="C10" i="84"/>
  <c r="B10" i="84"/>
  <c r="A10" i="84"/>
  <c r="Z9" i="84"/>
  <c r="W9" i="84"/>
  <c r="V9" i="84"/>
  <c r="U9" i="84"/>
  <c r="T9" i="84"/>
  <c r="S9" i="84"/>
  <c r="R9" i="84"/>
  <c r="Q9" i="84"/>
  <c r="P9" i="84"/>
  <c r="O9" i="84"/>
  <c r="N9" i="84"/>
  <c r="M9" i="84"/>
  <c r="L9" i="84"/>
  <c r="K9" i="84"/>
  <c r="J9" i="84"/>
  <c r="I9" i="84"/>
  <c r="H9" i="84"/>
  <c r="G9" i="84"/>
  <c r="F9" i="84"/>
  <c r="E9" i="84"/>
  <c r="D9" i="84"/>
  <c r="C9" i="84"/>
  <c r="B9" i="84"/>
  <c r="I7" i="84"/>
  <c r="E7" i="84"/>
  <c r="B7" i="84"/>
  <c r="B6" i="84"/>
  <c r="A6" i="84"/>
  <c r="H26" i="83"/>
  <c r="AA25" i="83"/>
  <c r="H25" i="83"/>
  <c r="G25" i="83"/>
  <c r="F25" i="83"/>
  <c r="E25" i="83"/>
  <c r="D25" i="83"/>
  <c r="C25" i="83"/>
  <c r="B25" i="83"/>
  <c r="A25" i="83"/>
  <c r="H23" i="83"/>
  <c r="AA22" i="83"/>
  <c r="H22" i="83"/>
  <c r="G22" i="83"/>
  <c r="F22" i="83"/>
  <c r="E22" i="83"/>
  <c r="D22" i="83"/>
  <c r="C22" i="83"/>
  <c r="B22" i="83"/>
  <c r="A22" i="83"/>
  <c r="H20" i="83"/>
  <c r="AA19" i="83"/>
  <c r="H19" i="83"/>
  <c r="G19" i="83"/>
  <c r="F19" i="83"/>
  <c r="E19" i="83"/>
  <c r="D19" i="83"/>
  <c r="C19" i="83"/>
  <c r="B19" i="83"/>
  <c r="A19" i="83"/>
  <c r="H17" i="83"/>
  <c r="AA16" i="83"/>
  <c r="H16" i="83"/>
  <c r="G16" i="83"/>
  <c r="F16" i="83"/>
  <c r="E16" i="83"/>
  <c r="D16" i="83"/>
  <c r="C16" i="83"/>
  <c r="B16" i="83"/>
  <c r="A16" i="83"/>
  <c r="H14" i="83"/>
  <c r="AA13" i="83"/>
  <c r="H13" i="83"/>
  <c r="G13" i="83"/>
  <c r="F13" i="83"/>
  <c r="E13" i="83"/>
  <c r="D13" i="83"/>
  <c r="C13" i="83"/>
  <c r="B13" i="83"/>
  <c r="A13" i="83"/>
  <c r="H11" i="83"/>
  <c r="AA10" i="83"/>
  <c r="H10" i="83"/>
  <c r="G10" i="83"/>
  <c r="F10" i="83"/>
  <c r="E10" i="83"/>
  <c r="D10" i="83"/>
  <c r="C10" i="83"/>
  <c r="B10" i="83"/>
  <c r="A10" i="83"/>
  <c r="Z9" i="83"/>
  <c r="W9" i="83"/>
  <c r="V9" i="83"/>
  <c r="U9" i="83"/>
  <c r="T9" i="83"/>
  <c r="S9" i="83"/>
  <c r="R9" i="83"/>
  <c r="Q9" i="83"/>
  <c r="P9" i="83"/>
  <c r="O9" i="83"/>
  <c r="N9" i="83"/>
  <c r="M9" i="83"/>
  <c r="L9" i="83"/>
  <c r="K9" i="83"/>
  <c r="J9" i="83"/>
  <c r="I9" i="83"/>
  <c r="H9" i="83"/>
  <c r="G9" i="83"/>
  <c r="F9" i="83"/>
  <c r="E9" i="83"/>
  <c r="D9" i="83"/>
  <c r="C9" i="83"/>
  <c r="B9" i="83"/>
  <c r="I7" i="83"/>
  <c r="E7" i="83"/>
  <c r="B7" i="83"/>
  <c r="B6" i="83"/>
  <c r="A6" i="83"/>
  <c r="H26" i="82"/>
  <c r="AA25" i="82"/>
  <c r="Q24" i="14" s="1"/>
  <c r="H25" i="82"/>
  <c r="G25" i="82"/>
  <c r="F25" i="82"/>
  <c r="E25" i="82"/>
  <c r="D25" i="82"/>
  <c r="C25" i="82"/>
  <c r="B25" i="82"/>
  <c r="A25" i="82"/>
  <c r="H23" i="82"/>
  <c r="AA22" i="82"/>
  <c r="H22" i="82"/>
  <c r="G22" i="82"/>
  <c r="F22" i="82"/>
  <c r="E22" i="82"/>
  <c r="D22" i="82"/>
  <c r="C22" i="82"/>
  <c r="B22" i="82"/>
  <c r="A22" i="82"/>
  <c r="H20" i="82"/>
  <c r="AA19" i="82"/>
  <c r="H19" i="82"/>
  <c r="G19" i="82"/>
  <c r="F19" i="82"/>
  <c r="E19" i="82"/>
  <c r="D19" i="82"/>
  <c r="C19" i="82"/>
  <c r="B19" i="82"/>
  <c r="A19" i="82"/>
  <c r="H17" i="82"/>
  <c r="AA16" i="82"/>
  <c r="Q15" i="14" s="1"/>
  <c r="H16" i="82"/>
  <c r="G16" i="82"/>
  <c r="F16" i="82"/>
  <c r="E16" i="82"/>
  <c r="D16" i="82"/>
  <c r="C16" i="82"/>
  <c r="B16" i="82"/>
  <c r="A16" i="82"/>
  <c r="H14" i="82"/>
  <c r="AA13" i="82"/>
  <c r="Q12" i="14" s="1"/>
  <c r="H13" i="82"/>
  <c r="G13" i="82"/>
  <c r="F13" i="82"/>
  <c r="E13" i="82"/>
  <c r="D13" i="82"/>
  <c r="C13" i="82"/>
  <c r="B13" i="82"/>
  <c r="A13" i="82"/>
  <c r="H11" i="82"/>
  <c r="AA10" i="82"/>
  <c r="H10" i="82"/>
  <c r="G10" i="82"/>
  <c r="F10" i="82"/>
  <c r="E10" i="82"/>
  <c r="D10" i="82"/>
  <c r="C10" i="82"/>
  <c r="B10" i="82"/>
  <c r="A10" i="82"/>
  <c r="Z9" i="82"/>
  <c r="W9" i="82"/>
  <c r="V9" i="82"/>
  <c r="U9" i="82"/>
  <c r="T9" i="82"/>
  <c r="S9" i="82"/>
  <c r="R9" i="82"/>
  <c r="Q9" i="82"/>
  <c r="P9" i="82"/>
  <c r="O9" i="82"/>
  <c r="N9" i="82"/>
  <c r="M9" i="82"/>
  <c r="L9" i="82"/>
  <c r="K9" i="82"/>
  <c r="J9" i="82"/>
  <c r="I9" i="82"/>
  <c r="H9" i="82"/>
  <c r="G9" i="82"/>
  <c r="F9" i="82"/>
  <c r="E9" i="82"/>
  <c r="D9" i="82"/>
  <c r="C9" i="82"/>
  <c r="B9" i="82"/>
  <c r="I7" i="82"/>
  <c r="E7" i="82"/>
  <c r="B7" i="82"/>
  <c r="B6" i="82"/>
  <c r="A6" i="82"/>
  <c r="H26" i="81"/>
  <c r="AA25" i="81"/>
  <c r="H25" i="81"/>
  <c r="G25" i="81"/>
  <c r="F25" i="81"/>
  <c r="E25" i="81"/>
  <c r="D25" i="81"/>
  <c r="C25" i="81"/>
  <c r="B25" i="81"/>
  <c r="A25" i="81"/>
  <c r="H23" i="81"/>
  <c r="AA22" i="81"/>
  <c r="H22" i="81"/>
  <c r="G22" i="81"/>
  <c r="F22" i="81"/>
  <c r="E22" i="81"/>
  <c r="D22" i="81"/>
  <c r="C22" i="81"/>
  <c r="B22" i="81"/>
  <c r="A22" i="81"/>
  <c r="H20" i="81"/>
  <c r="AA19" i="81"/>
  <c r="H19" i="81"/>
  <c r="G19" i="81"/>
  <c r="F19" i="81"/>
  <c r="E19" i="81"/>
  <c r="D19" i="81"/>
  <c r="C19" i="81"/>
  <c r="B19" i="81"/>
  <c r="A19" i="81"/>
  <c r="H17" i="81"/>
  <c r="AA16" i="81"/>
  <c r="H16" i="81"/>
  <c r="G16" i="81"/>
  <c r="F16" i="81"/>
  <c r="E16" i="81"/>
  <c r="D16" i="81"/>
  <c r="C16" i="81"/>
  <c r="B16" i="81"/>
  <c r="A16" i="81"/>
  <c r="H14" i="81"/>
  <c r="AA13" i="81"/>
  <c r="H13" i="81"/>
  <c r="G13" i="81"/>
  <c r="F13" i="81"/>
  <c r="E13" i="81"/>
  <c r="D13" i="81"/>
  <c r="C13" i="81"/>
  <c r="B13" i="81"/>
  <c r="A13" i="81"/>
  <c r="H11" i="81"/>
  <c r="AA10" i="81"/>
  <c r="H10" i="81"/>
  <c r="G10" i="81"/>
  <c r="F10" i="81"/>
  <c r="E10" i="81"/>
  <c r="D10" i="81"/>
  <c r="C10" i="81"/>
  <c r="B10" i="81"/>
  <c r="A10" i="81"/>
  <c r="Z9" i="81"/>
  <c r="W9" i="81"/>
  <c r="V9" i="81"/>
  <c r="U9" i="81"/>
  <c r="T9" i="81"/>
  <c r="S9" i="81"/>
  <c r="R9" i="81"/>
  <c r="Q9" i="81"/>
  <c r="P9" i="81"/>
  <c r="O9" i="81"/>
  <c r="N9" i="81"/>
  <c r="M9" i="81"/>
  <c r="L9" i="81"/>
  <c r="K9" i="81"/>
  <c r="J9" i="81"/>
  <c r="I9" i="81"/>
  <c r="H9" i="81"/>
  <c r="G9" i="81"/>
  <c r="F9" i="81"/>
  <c r="E9" i="81"/>
  <c r="D9" i="81"/>
  <c r="C9" i="81"/>
  <c r="B9" i="81"/>
  <c r="I7" i="81"/>
  <c r="E7" i="81"/>
  <c r="B7" i="81"/>
  <c r="B6" i="81"/>
  <c r="A6" i="81"/>
  <c r="H26" i="80"/>
  <c r="AA25" i="80"/>
  <c r="H25" i="80"/>
  <c r="G25" i="80"/>
  <c r="F25" i="80"/>
  <c r="E25" i="80"/>
  <c r="D25" i="80"/>
  <c r="C25" i="80"/>
  <c r="B25" i="80"/>
  <c r="A25" i="80"/>
  <c r="H23" i="80"/>
  <c r="AA22" i="80"/>
  <c r="H22" i="80"/>
  <c r="G22" i="80"/>
  <c r="F22" i="80"/>
  <c r="E22" i="80"/>
  <c r="D22" i="80"/>
  <c r="C22" i="80"/>
  <c r="B22" i="80"/>
  <c r="A22" i="80"/>
  <c r="H20" i="80"/>
  <c r="AA19" i="80"/>
  <c r="H19" i="80"/>
  <c r="G19" i="80"/>
  <c r="F19" i="80"/>
  <c r="E19" i="80"/>
  <c r="D19" i="80"/>
  <c r="C19" i="80"/>
  <c r="B19" i="80"/>
  <c r="A19" i="80"/>
  <c r="H17" i="80"/>
  <c r="AA16" i="80"/>
  <c r="H16" i="80"/>
  <c r="G16" i="80"/>
  <c r="F16" i="80"/>
  <c r="E16" i="80"/>
  <c r="D16" i="80"/>
  <c r="C16" i="80"/>
  <c r="B16" i="80"/>
  <c r="A16" i="80"/>
  <c r="H14" i="80"/>
  <c r="AA13" i="80"/>
  <c r="H13" i="80"/>
  <c r="G13" i="80"/>
  <c r="F13" i="80"/>
  <c r="E13" i="80"/>
  <c r="D13" i="80"/>
  <c r="C13" i="80"/>
  <c r="B13" i="80"/>
  <c r="A13" i="80"/>
  <c r="H11" i="80"/>
  <c r="AA10" i="80"/>
  <c r="H10" i="80"/>
  <c r="G10" i="80"/>
  <c r="F10" i="80"/>
  <c r="E10" i="80"/>
  <c r="D10" i="80"/>
  <c r="C10" i="80"/>
  <c r="B10" i="80"/>
  <c r="A10" i="80"/>
  <c r="Z9" i="80"/>
  <c r="W9" i="80"/>
  <c r="V9" i="80"/>
  <c r="U9" i="80"/>
  <c r="T9" i="80"/>
  <c r="S9" i="80"/>
  <c r="R9" i="80"/>
  <c r="Q9" i="80"/>
  <c r="P9" i="80"/>
  <c r="O9" i="80"/>
  <c r="N9" i="80"/>
  <c r="M9" i="80"/>
  <c r="L9" i="80"/>
  <c r="K9" i="80"/>
  <c r="J9" i="80"/>
  <c r="I9" i="80"/>
  <c r="H9" i="80"/>
  <c r="G9" i="80"/>
  <c r="F9" i="80"/>
  <c r="E9" i="80"/>
  <c r="D9" i="80"/>
  <c r="C9" i="80"/>
  <c r="B9" i="80"/>
  <c r="I7" i="80"/>
  <c r="E7" i="80"/>
  <c r="B7" i="80"/>
  <c r="B6" i="80"/>
  <c r="A6" i="80"/>
  <c r="H26" i="79"/>
  <c r="AA25" i="79"/>
  <c r="H25" i="79"/>
  <c r="G25" i="79"/>
  <c r="F25" i="79"/>
  <c r="E25" i="79"/>
  <c r="D25" i="79"/>
  <c r="C25" i="79"/>
  <c r="B25" i="79"/>
  <c r="A25" i="79"/>
  <c r="H23" i="79"/>
  <c r="AA22" i="79"/>
  <c r="H22" i="79"/>
  <c r="G22" i="79"/>
  <c r="F22" i="79"/>
  <c r="E22" i="79"/>
  <c r="D22" i="79"/>
  <c r="C22" i="79"/>
  <c r="B22" i="79"/>
  <c r="A22" i="79"/>
  <c r="H20" i="79"/>
  <c r="AA19" i="79"/>
  <c r="O18" i="14" s="1"/>
  <c r="H19" i="79"/>
  <c r="G19" i="79"/>
  <c r="F19" i="79"/>
  <c r="E19" i="79"/>
  <c r="D19" i="79"/>
  <c r="C19" i="79"/>
  <c r="B19" i="79"/>
  <c r="A19" i="79"/>
  <c r="H17" i="79"/>
  <c r="AA16" i="79"/>
  <c r="H16" i="79"/>
  <c r="G16" i="79"/>
  <c r="F16" i="79"/>
  <c r="E16" i="79"/>
  <c r="D16" i="79"/>
  <c r="C16" i="79"/>
  <c r="B16" i="79"/>
  <c r="A16" i="79"/>
  <c r="H14" i="79"/>
  <c r="AA13" i="79"/>
  <c r="O12" i="14" s="1"/>
  <c r="H13" i="79"/>
  <c r="G13" i="79"/>
  <c r="F13" i="79"/>
  <c r="E13" i="79"/>
  <c r="D13" i="79"/>
  <c r="C13" i="79"/>
  <c r="B13" i="79"/>
  <c r="A13" i="79"/>
  <c r="H11" i="79"/>
  <c r="AA10" i="79"/>
  <c r="H10" i="79"/>
  <c r="G10" i="79"/>
  <c r="F10" i="79"/>
  <c r="E10" i="79"/>
  <c r="D10" i="79"/>
  <c r="C10" i="79"/>
  <c r="B10" i="79"/>
  <c r="A10" i="79"/>
  <c r="Z9" i="79"/>
  <c r="W9" i="79"/>
  <c r="V9" i="79"/>
  <c r="U9" i="79"/>
  <c r="T9" i="79"/>
  <c r="S9" i="79"/>
  <c r="R9" i="79"/>
  <c r="Q9" i="79"/>
  <c r="P9" i="79"/>
  <c r="O9" i="79"/>
  <c r="N9" i="79"/>
  <c r="M9" i="79"/>
  <c r="L9" i="79"/>
  <c r="K9" i="79"/>
  <c r="J9" i="79"/>
  <c r="I9" i="79"/>
  <c r="H9" i="79"/>
  <c r="G9" i="79"/>
  <c r="F9" i="79"/>
  <c r="E9" i="79"/>
  <c r="D9" i="79"/>
  <c r="C9" i="79"/>
  <c r="B9" i="79"/>
  <c r="I7" i="79"/>
  <c r="E7" i="79"/>
  <c r="B7" i="79"/>
  <c r="B6" i="79"/>
  <c r="A6" i="79"/>
  <c r="H26" i="75"/>
  <c r="AA25" i="75"/>
  <c r="H25" i="75"/>
  <c r="G25" i="75"/>
  <c r="F25" i="75"/>
  <c r="E25" i="75"/>
  <c r="D25" i="75"/>
  <c r="C25" i="75"/>
  <c r="B25" i="75"/>
  <c r="A25" i="75"/>
  <c r="H23" i="75"/>
  <c r="AA22" i="75"/>
  <c r="H22" i="75"/>
  <c r="G22" i="75"/>
  <c r="F22" i="75"/>
  <c r="E22" i="75"/>
  <c r="D22" i="75"/>
  <c r="C22" i="75"/>
  <c r="B22" i="75"/>
  <c r="A22" i="75"/>
  <c r="H20" i="75"/>
  <c r="AA19" i="75"/>
  <c r="H19" i="75"/>
  <c r="G19" i="75"/>
  <c r="F19" i="75"/>
  <c r="E19" i="75"/>
  <c r="D19" i="75"/>
  <c r="C19" i="75"/>
  <c r="B19" i="75"/>
  <c r="A19" i="75"/>
  <c r="H17" i="75"/>
  <c r="AA16" i="75"/>
  <c r="H16" i="75"/>
  <c r="G16" i="75"/>
  <c r="F16" i="75"/>
  <c r="E16" i="75"/>
  <c r="D16" i="75"/>
  <c r="C16" i="75"/>
  <c r="B16" i="75"/>
  <c r="A16" i="75"/>
  <c r="H14" i="75"/>
  <c r="AA13" i="75"/>
  <c r="H13" i="75"/>
  <c r="G13" i="75"/>
  <c r="F13" i="75"/>
  <c r="E13" i="75"/>
  <c r="D13" i="75"/>
  <c r="C13" i="75"/>
  <c r="B13" i="75"/>
  <c r="A13" i="75"/>
  <c r="H11" i="75"/>
  <c r="AA10" i="75"/>
  <c r="H10" i="75"/>
  <c r="G10" i="75"/>
  <c r="F10" i="75"/>
  <c r="E10" i="75"/>
  <c r="D10" i="75"/>
  <c r="C10" i="75"/>
  <c r="B10" i="75"/>
  <c r="A10" i="75"/>
  <c r="Z9" i="75"/>
  <c r="W9" i="75"/>
  <c r="V9" i="75"/>
  <c r="U9" i="75"/>
  <c r="T9" i="75"/>
  <c r="S9" i="75"/>
  <c r="R9" i="75"/>
  <c r="Q9" i="75"/>
  <c r="P9" i="75"/>
  <c r="O9" i="75"/>
  <c r="N9" i="75"/>
  <c r="M9" i="75"/>
  <c r="L9" i="75"/>
  <c r="K9" i="75"/>
  <c r="J9" i="75"/>
  <c r="I9" i="75"/>
  <c r="H9" i="75"/>
  <c r="G9" i="75"/>
  <c r="F9" i="75"/>
  <c r="E9" i="75"/>
  <c r="D9" i="75"/>
  <c r="C9" i="75"/>
  <c r="B9" i="75"/>
  <c r="I7" i="75"/>
  <c r="E7" i="75"/>
  <c r="B7" i="75"/>
  <c r="B6" i="75"/>
  <c r="A6" i="75"/>
  <c r="H26" i="74"/>
  <c r="AA25" i="74"/>
  <c r="H25" i="74"/>
  <c r="G25" i="74"/>
  <c r="F25" i="74"/>
  <c r="E25" i="74"/>
  <c r="D25" i="74"/>
  <c r="C25" i="74"/>
  <c r="B25" i="74"/>
  <c r="A25" i="74"/>
  <c r="H23" i="74"/>
  <c r="AA22" i="74"/>
  <c r="H22" i="74"/>
  <c r="G22" i="74"/>
  <c r="F22" i="74"/>
  <c r="E22" i="74"/>
  <c r="D22" i="74"/>
  <c r="C22" i="74"/>
  <c r="B22" i="74"/>
  <c r="A22" i="74"/>
  <c r="H20" i="74"/>
  <c r="AA19" i="74"/>
  <c r="H19" i="74"/>
  <c r="G19" i="74"/>
  <c r="F19" i="74"/>
  <c r="E19" i="74"/>
  <c r="D19" i="74"/>
  <c r="C19" i="74"/>
  <c r="B19" i="74"/>
  <c r="A19" i="74"/>
  <c r="H17" i="74"/>
  <c r="AA16" i="74"/>
  <c r="H16" i="74"/>
  <c r="G16" i="74"/>
  <c r="F16" i="74"/>
  <c r="E16" i="74"/>
  <c r="D16" i="74"/>
  <c r="C16" i="74"/>
  <c r="B16" i="74"/>
  <c r="A16" i="74"/>
  <c r="H14" i="74"/>
  <c r="AA13" i="74"/>
  <c r="H13" i="74"/>
  <c r="G13" i="74"/>
  <c r="F13" i="74"/>
  <c r="E13" i="74"/>
  <c r="D13" i="74"/>
  <c r="C13" i="74"/>
  <c r="B13" i="74"/>
  <c r="A13" i="74"/>
  <c r="H11" i="74"/>
  <c r="AA10" i="74"/>
  <c r="H10" i="74"/>
  <c r="G10" i="74"/>
  <c r="F10" i="74"/>
  <c r="E10" i="74"/>
  <c r="D10" i="74"/>
  <c r="C10" i="74"/>
  <c r="B10" i="74"/>
  <c r="A10" i="74"/>
  <c r="Z9" i="74"/>
  <c r="W9" i="74"/>
  <c r="V9" i="74"/>
  <c r="U9" i="74"/>
  <c r="T9" i="74"/>
  <c r="S9" i="74"/>
  <c r="R9" i="74"/>
  <c r="Q9" i="74"/>
  <c r="P9" i="74"/>
  <c r="O9" i="74"/>
  <c r="N9" i="74"/>
  <c r="M9" i="74"/>
  <c r="L9" i="74"/>
  <c r="K9" i="74"/>
  <c r="J9" i="74"/>
  <c r="I9" i="74"/>
  <c r="H9" i="74"/>
  <c r="G9" i="74"/>
  <c r="F9" i="74"/>
  <c r="E9" i="74"/>
  <c r="D9" i="74"/>
  <c r="C9" i="74"/>
  <c r="B9" i="74"/>
  <c r="I7" i="74"/>
  <c r="E7" i="74"/>
  <c r="B7" i="74"/>
  <c r="B6" i="74"/>
  <c r="A6" i="74"/>
  <c r="H26" i="73"/>
  <c r="AA25" i="73"/>
  <c r="H25" i="73"/>
  <c r="G25" i="73"/>
  <c r="F25" i="73"/>
  <c r="E25" i="73"/>
  <c r="D25" i="73"/>
  <c r="C25" i="73"/>
  <c r="B25" i="73"/>
  <c r="A25" i="73"/>
  <c r="H23" i="73"/>
  <c r="AA22" i="73"/>
  <c r="H22" i="73"/>
  <c r="G22" i="73"/>
  <c r="F22" i="73"/>
  <c r="E22" i="73"/>
  <c r="D22" i="73"/>
  <c r="C22" i="73"/>
  <c r="B22" i="73"/>
  <c r="A22" i="73"/>
  <c r="H20" i="73"/>
  <c r="AA19" i="73"/>
  <c r="H19" i="73"/>
  <c r="G19" i="73"/>
  <c r="F19" i="73"/>
  <c r="E19" i="73"/>
  <c r="D19" i="73"/>
  <c r="C19" i="73"/>
  <c r="B19" i="73"/>
  <c r="A19" i="73"/>
  <c r="H17" i="73"/>
  <c r="AA16" i="73"/>
  <c r="H16" i="73"/>
  <c r="G16" i="73"/>
  <c r="F16" i="73"/>
  <c r="E16" i="73"/>
  <c r="D16" i="73"/>
  <c r="C16" i="73"/>
  <c r="B16" i="73"/>
  <c r="A16" i="73"/>
  <c r="H14" i="73"/>
  <c r="AA13" i="73"/>
  <c r="H13" i="73"/>
  <c r="G13" i="73"/>
  <c r="F13" i="73"/>
  <c r="E13" i="73"/>
  <c r="D13" i="73"/>
  <c r="C13" i="73"/>
  <c r="B13" i="73"/>
  <c r="A13" i="73"/>
  <c r="H11" i="73"/>
  <c r="AA10" i="73"/>
  <c r="H10" i="73"/>
  <c r="G10" i="73"/>
  <c r="F10" i="73"/>
  <c r="E10" i="73"/>
  <c r="D10" i="73"/>
  <c r="C10" i="73"/>
  <c r="B10" i="73"/>
  <c r="A10" i="73"/>
  <c r="Z9" i="73"/>
  <c r="W9" i="73"/>
  <c r="V9" i="73"/>
  <c r="U9" i="73"/>
  <c r="T9" i="73"/>
  <c r="S9" i="73"/>
  <c r="R9" i="73"/>
  <c r="Q9" i="73"/>
  <c r="P9" i="73"/>
  <c r="O9" i="73"/>
  <c r="N9" i="73"/>
  <c r="M9" i="73"/>
  <c r="L9" i="73"/>
  <c r="K9" i="73"/>
  <c r="J9" i="73"/>
  <c r="I9" i="73"/>
  <c r="H9" i="73"/>
  <c r="G9" i="73"/>
  <c r="F9" i="73"/>
  <c r="E9" i="73"/>
  <c r="D9" i="73"/>
  <c r="C9" i="73"/>
  <c r="B9" i="73"/>
  <c r="I7" i="73"/>
  <c r="E7" i="73"/>
  <c r="B7" i="73"/>
  <c r="B6" i="73"/>
  <c r="A6" i="73"/>
  <c r="H26" i="72"/>
  <c r="AA25" i="72"/>
  <c r="K24" i="14" s="1"/>
  <c r="H25" i="72"/>
  <c r="G25" i="72"/>
  <c r="F25" i="72"/>
  <c r="E25" i="72"/>
  <c r="D25" i="72"/>
  <c r="C25" i="72"/>
  <c r="B25" i="72"/>
  <c r="A25" i="72"/>
  <c r="H23" i="72"/>
  <c r="AA22" i="72"/>
  <c r="K21" i="14" s="1"/>
  <c r="H22" i="72"/>
  <c r="G22" i="72"/>
  <c r="F22" i="72"/>
  <c r="E22" i="72"/>
  <c r="D22" i="72"/>
  <c r="C22" i="72"/>
  <c r="B22" i="72"/>
  <c r="A22" i="72"/>
  <c r="H20" i="72"/>
  <c r="AA19" i="72"/>
  <c r="H19" i="72"/>
  <c r="G19" i="72"/>
  <c r="F19" i="72"/>
  <c r="E19" i="72"/>
  <c r="D19" i="72"/>
  <c r="C19" i="72"/>
  <c r="B19" i="72"/>
  <c r="A19" i="72"/>
  <c r="H17" i="72"/>
  <c r="AA16" i="72"/>
  <c r="H16" i="72"/>
  <c r="G16" i="72"/>
  <c r="F16" i="72"/>
  <c r="E16" i="72"/>
  <c r="D16" i="72"/>
  <c r="C16" i="72"/>
  <c r="B16" i="72"/>
  <c r="A16" i="72"/>
  <c r="H14" i="72"/>
  <c r="AA13" i="72"/>
  <c r="H13" i="72"/>
  <c r="G13" i="72"/>
  <c r="F13" i="72"/>
  <c r="E13" i="72"/>
  <c r="D13" i="72"/>
  <c r="C13" i="72"/>
  <c r="B13" i="72"/>
  <c r="A13" i="72"/>
  <c r="H11" i="72"/>
  <c r="AA10" i="72"/>
  <c r="H10" i="72"/>
  <c r="G10" i="72"/>
  <c r="F10" i="72"/>
  <c r="E10" i="72"/>
  <c r="D10" i="72"/>
  <c r="C10" i="72"/>
  <c r="B10" i="72"/>
  <c r="A10" i="72"/>
  <c r="Z9" i="72"/>
  <c r="W9" i="72"/>
  <c r="V9" i="72"/>
  <c r="U9" i="72"/>
  <c r="T9" i="72"/>
  <c r="S9" i="72"/>
  <c r="R9" i="72"/>
  <c r="Q9" i="72"/>
  <c r="P9" i="72"/>
  <c r="O9" i="72"/>
  <c r="N9" i="72"/>
  <c r="M9" i="72"/>
  <c r="L9" i="72"/>
  <c r="K9" i="72"/>
  <c r="J9" i="72"/>
  <c r="I9" i="72"/>
  <c r="H9" i="72"/>
  <c r="G9" i="72"/>
  <c r="F9" i="72"/>
  <c r="E9" i="72"/>
  <c r="D9" i="72"/>
  <c r="C9" i="72"/>
  <c r="B9" i="72"/>
  <c r="I7" i="72"/>
  <c r="E7" i="72"/>
  <c r="B7" i="72"/>
  <c r="B6" i="72"/>
  <c r="A6" i="72"/>
  <c r="H26" i="71"/>
  <c r="AA25" i="71"/>
  <c r="H25" i="71"/>
  <c r="G25" i="71"/>
  <c r="F25" i="71"/>
  <c r="E25" i="71"/>
  <c r="D25" i="71"/>
  <c r="C25" i="71"/>
  <c r="B25" i="71"/>
  <c r="A25" i="71"/>
  <c r="H23" i="71"/>
  <c r="AA22" i="71"/>
  <c r="H22" i="71"/>
  <c r="G22" i="71"/>
  <c r="F22" i="71"/>
  <c r="E22" i="71"/>
  <c r="D22" i="71"/>
  <c r="C22" i="71"/>
  <c r="B22" i="71"/>
  <c r="A22" i="71"/>
  <c r="H20" i="71"/>
  <c r="H19" i="71"/>
  <c r="G19" i="71"/>
  <c r="F19" i="71"/>
  <c r="E19" i="71"/>
  <c r="D19" i="71"/>
  <c r="C19" i="71"/>
  <c r="B19" i="71"/>
  <c r="A19" i="71"/>
  <c r="H17" i="71"/>
  <c r="H16" i="71"/>
  <c r="G16" i="71"/>
  <c r="F16" i="71"/>
  <c r="E16" i="71"/>
  <c r="D16" i="71"/>
  <c r="C16" i="71"/>
  <c r="B16" i="71"/>
  <c r="A16" i="71"/>
  <c r="H14" i="71"/>
  <c r="AA13" i="71"/>
  <c r="H13" i="71"/>
  <c r="G13" i="71"/>
  <c r="F13" i="71"/>
  <c r="E13" i="71"/>
  <c r="D13" i="71"/>
  <c r="C13" i="71"/>
  <c r="B13" i="71"/>
  <c r="A13" i="71"/>
  <c r="H11" i="71"/>
  <c r="AA10" i="71"/>
  <c r="H10" i="71"/>
  <c r="G10" i="71"/>
  <c r="F10" i="71"/>
  <c r="E10" i="71"/>
  <c r="D10" i="71"/>
  <c r="C10" i="71"/>
  <c r="B10" i="71"/>
  <c r="A10" i="71"/>
  <c r="Z9" i="71"/>
  <c r="W9" i="71"/>
  <c r="V9" i="71"/>
  <c r="U9" i="71"/>
  <c r="T9" i="71"/>
  <c r="S9" i="71"/>
  <c r="R9" i="71"/>
  <c r="Q9" i="71"/>
  <c r="P9" i="71"/>
  <c r="O9" i="71"/>
  <c r="N9" i="71"/>
  <c r="M9" i="71"/>
  <c r="L9" i="71"/>
  <c r="K9" i="71"/>
  <c r="J9" i="71"/>
  <c r="I9" i="71"/>
  <c r="H9" i="71"/>
  <c r="G9" i="71"/>
  <c r="F9" i="71"/>
  <c r="E9" i="71"/>
  <c r="D9" i="71"/>
  <c r="C9" i="71"/>
  <c r="B9" i="71"/>
  <c r="I7" i="71"/>
  <c r="E7" i="71"/>
  <c r="B7" i="71"/>
  <c r="B6" i="71"/>
  <c r="A6" i="71"/>
  <c r="J9" i="70"/>
  <c r="K9" i="70"/>
  <c r="L9" i="70"/>
  <c r="M9" i="70"/>
  <c r="N9" i="70"/>
  <c r="O9" i="70"/>
  <c r="P9" i="70"/>
  <c r="Q9" i="70"/>
  <c r="R9" i="70"/>
  <c r="S9" i="70"/>
  <c r="T9" i="70"/>
  <c r="U9" i="70"/>
  <c r="V9" i="70"/>
  <c r="W9" i="70"/>
  <c r="Z9" i="70"/>
  <c r="I9" i="70"/>
  <c r="H26" i="70"/>
  <c r="AA25" i="70"/>
  <c r="H25" i="70"/>
  <c r="G25" i="70"/>
  <c r="F25" i="70"/>
  <c r="E25" i="70"/>
  <c r="D25" i="70"/>
  <c r="C25" i="70"/>
  <c r="B25" i="70"/>
  <c r="A25" i="70"/>
  <c r="H23" i="70"/>
  <c r="AA22" i="70"/>
  <c r="I21" i="14" s="1"/>
  <c r="H22" i="70"/>
  <c r="G22" i="70"/>
  <c r="F22" i="70"/>
  <c r="E22" i="70"/>
  <c r="D22" i="70"/>
  <c r="C22" i="70"/>
  <c r="B22" i="70"/>
  <c r="A22" i="70"/>
  <c r="H20" i="70"/>
  <c r="AA19" i="70"/>
  <c r="H19" i="70"/>
  <c r="G19" i="70"/>
  <c r="F19" i="70"/>
  <c r="E19" i="70"/>
  <c r="D19" i="70"/>
  <c r="C19" i="70"/>
  <c r="B19" i="70"/>
  <c r="A19" i="70"/>
  <c r="H17" i="70"/>
  <c r="AA16" i="70"/>
  <c r="H16" i="70"/>
  <c r="G16" i="70"/>
  <c r="F16" i="70"/>
  <c r="E16" i="70"/>
  <c r="D16" i="70"/>
  <c r="C16" i="70"/>
  <c r="B16" i="70"/>
  <c r="A16" i="70"/>
  <c r="H14" i="70"/>
  <c r="AA13" i="70"/>
  <c r="H13" i="70"/>
  <c r="G13" i="70"/>
  <c r="F13" i="70"/>
  <c r="E13" i="70"/>
  <c r="D13" i="70"/>
  <c r="C13" i="70"/>
  <c r="B13" i="70"/>
  <c r="A13" i="70"/>
  <c r="H11" i="70"/>
  <c r="AA10" i="70"/>
  <c r="H10" i="70"/>
  <c r="G10" i="70"/>
  <c r="F10" i="70"/>
  <c r="E10" i="70"/>
  <c r="D10" i="70"/>
  <c r="C10" i="70"/>
  <c r="B10" i="70"/>
  <c r="A10" i="70"/>
  <c r="H9" i="70"/>
  <c r="G9" i="70"/>
  <c r="F9" i="70"/>
  <c r="E9" i="70"/>
  <c r="D9" i="70"/>
  <c r="C9" i="70"/>
  <c r="B9" i="70"/>
  <c r="I7" i="70"/>
  <c r="E7" i="70"/>
  <c r="B7" i="70"/>
  <c r="B6" i="70"/>
  <c r="A6" i="70"/>
  <c r="I7" i="29"/>
  <c r="H26" i="29"/>
  <c r="H25" i="29"/>
  <c r="G25" i="29"/>
  <c r="F25" i="29"/>
  <c r="E25" i="29"/>
  <c r="D25" i="29"/>
  <c r="C25" i="29"/>
  <c r="B25" i="29"/>
  <c r="A25" i="29"/>
  <c r="H23" i="29"/>
  <c r="H22" i="29"/>
  <c r="G22" i="29"/>
  <c r="F22" i="29"/>
  <c r="E22" i="29"/>
  <c r="D22" i="29"/>
  <c r="C22" i="29"/>
  <c r="B22" i="29"/>
  <c r="A22" i="29"/>
  <c r="H20" i="29"/>
  <c r="H19" i="29"/>
  <c r="G19" i="29"/>
  <c r="F19" i="29"/>
  <c r="E19" i="29"/>
  <c r="D19" i="29"/>
  <c r="C19" i="29"/>
  <c r="B19" i="29"/>
  <c r="A19" i="29"/>
  <c r="H17" i="29"/>
  <c r="H16" i="29"/>
  <c r="G16" i="29"/>
  <c r="F16" i="29"/>
  <c r="E16" i="29"/>
  <c r="D16" i="29"/>
  <c r="C16" i="29"/>
  <c r="B16" i="29"/>
  <c r="A16" i="29"/>
  <c r="H14" i="29"/>
  <c r="H13" i="29"/>
  <c r="G13" i="29"/>
  <c r="F13" i="29"/>
  <c r="E13" i="29"/>
  <c r="D13" i="29"/>
  <c r="C13" i="29"/>
  <c r="B13" i="29"/>
  <c r="A13" i="29"/>
  <c r="H11" i="29"/>
  <c r="H10" i="29"/>
  <c r="G10" i="29"/>
  <c r="F10" i="29"/>
  <c r="E10" i="29"/>
  <c r="D10" i="29"/>
  <c r="C10" i="29"/>
  <c r="B10" i="29"/>
  <c r="A10" i="29"/>
  <c r="H9" i="29"/>
  <c r="G9" i="29"/>
  <c r="F9" i="29"/>
  <c r="E9" i="29"/>
  <c r="D9" i="29"/>
  <c r="C9" i="29"/>
  <c r="B9" i="29"/>
  <c r="E7" i="29"/>
  <c r="B7" i="29"/>
  <c r="B6" i="29"/>
  <c r="A6" i="29"/>
  <c r="AA25" i="29"/>
  <c r="AA19" i="29"/>
  <c r="AA16" i="29"/>
  <c r="AA13" i="29"/>
  <c r="W2" i="130"/>
  <c r="W2" i="126"/>
  <c r="W2" i="125"/>
  <c r="W2" i="123"/>
  <c r="W2" i="122"/>
  <c r="W2" i="92"/>
  <c r="W2" i="91"/>
  <c r="W2" i="90"/>
  <c r="W2" i="89"/>
  <c r="W2" i="88"/>
  <c r="W2" i="87"/>
  <c r="W2" i="84"/>
  <c r="W2" i="83"/>
  <c r="W2" i="82"/>
  <c r="W2" i="81"/>
  <c r="W2" i="80"/>
  <c r="W2" i="79"/>
  <c r="W2" i="75"/>
  <c r="W2" i="74"/>
  <c r="W2" i="73"/>
  <c r="W2" i="72"/>
  <c r="W2" i="71"/>
  <c r="W2" i="70"/>
  <c r="A1" i="130"/>
  <c r="A1" i="126"/>
  <c r="A1" i="125"/>
  <c r="A1" i="123"/>
  <c r="A1" i="122"/>
  <c r="S9" i="14" l="1"/>
  <c r="AC18" i="14"/>
  <c r="AA15" i="14"/>
  <c r="U18" i="14"/>
  <c r="U21" i="14"/>
  <c r="Q9" i="14"/>
  <c r="K9" i="14"/>
  <c r="K15" i="14"/>
  <c r="I24" i="14"/>
  <c r="I12" i="14"/>
  <c r="I15" i="14"/>
  <c r="U9" i="14"/>
  <c r="O21" i="14"/>
  <c r="K18" i="14"/>
  <c r="Q21" i="14"/>
  <c r="O15" i="14"/>
  <c r="O24" i="14"/>
  <c r="W24" i="14"/>
  <c r="S21" i="14"/>
  <c r="S15" i="14"/>
  <c r="S18" i="14"/>
  <c r="M24" i="14"/>
  <c r="I9" i="14"/>
  <c r="AC24" i="14"/>
  <c r="AC12" i="14"/>
  <c r="AC21" i="14"/>
  <c r="AC15" i="14"/>
  <c r="AC9" i="14"/>
  <c r="U15" i="14"/>
  <c r="S24" i="14"/>
  <c r="S12" i="14"/>
  <c r="Q18" i="14"/>
  <c r="O9" i="14"/>
  <c r="M21" i="14"/>
  <c r="M18" i="14"/>
  <c r="M15" i="14"/>
  <c r="M12" i="14"/>
  <c r="M9" i="14"/>
  <c r="K12" i="14"/>
  <c r="I18" i="14"/>
  <c r="W2" i="29"/>
  <c r="AE24" i="14" l="1"/>
  <c r="AE21" i="14"/>
  <c r="AE15" i="14"/>
  <c r="AE9" i="14"/>
  <c r="AE18" i="14"/>
  <c r="AE12" i="14"/>
  <c r="A1" i="92"/>
  <c r="A1" i="91"/>
  <c r="A1" i="90"/>
  <c r="A1" i="89"/>
  <c r="A1" i="88"/>
  <c r="A1" i="87"/>
  <c r="A1" i="84"/>
  <c r="A1" i="83"/>
  <c r="A1" i="82"/>
  <c r="A1" i="81"/>
  <c r="A1" i="80"/>
  <c r="A1" i="79"/>
  <c r="A1" i="75"/>
  <c r="A1" i="74"/>
  <c r="A1" i="73"/>
  <c r="A1" i="72"/>
  <c r="A1" i="71"/>
  <c r="A1" i="70"/>
  <c r="A1" i="29" l="1"/>
</calcChain>
</file>

<file path=xl/sharedStrings.xml><?xml version="1.0" encoding="utf-8"?>
<sst xmlns="http://schemas.openxmlformats.org/spreadsheetml/2006/main" count="608" uniqueCount="92">
  <si>
    <t>Número</t>
  </si>
  <si>
    <t>Indicador</t>
  </si>
  <si>
    <t xml:space="preserve">Periodo </t>
  </si>
  <si>
    <t>Cálculo</t>
  </si>
  <si>
    <t>DESCRIPCIÓN</t>
  </si>
  <si>
    <t>MEDICIÓN</t>
  </si>
  <si>
    <t>Estimado</t>
  </si>
  <si>
    <t>% AVANCE REGISTRADO</t>
  </si>
  <si>
    <t>Nominativo</t>
  </si>
  <si>
    <t xml:space="preserve">Proceso </t>
  </si>
  <si>
    <t>ENTREVISTA</t>
  </si>
  <si>
    <t>Efectividad de la entrevista =</t>
  </si>
  <si>
    <t>Semanal (remesa)</t>
  </si>
  <si>
    <t>TRÁMITE</t>
  </si>
  <si>
    <t>TRANSFERENCIA</t>
  </si>
  <si>
    <t xml:space="preserve">Transacciones exitosas = </t>
  </si>
  <si>
    <t>Trámites exitosos efectivos=</t>
  </si>
  <si>
    <t>CONCILIACIÓN</t>
  </si>
  <si>
    <t xml:space="preserve">Credenciales disponibles para entrega = </t>
  </si>
  <si>
    <t>ENTREGA</t>
  </si>
  <si>
    <t xml:space="preserve">Efectividad de entrega de CPV en MAC = </t>
  </si>
  <si>
    <t>SEMANA OPERATIVA</t>
  </si>
  <si>
    <t xml:space="preserve">PROCESOS SUSTANTIVOS E INDICADORES </t>
  </si>
  <si>
    <t>Valor esperado</t>
  </si>
  <si>
    <t xml:space="preserve">Distrito </t>
  </si>
  <si>
    <t>Módulo</t>
  </si>
  <si>
    <t>TABLERO DE CONTROL DE PROCESOS SUSTANTIVOS DEL SISTEMA DE GESTIÓN DE LA CALIDAD</t>
  </si>
  <si>
    <t xml:space="preserve">CUADRO DE OBSERVACIONES </t>
  </si>
  <si>
    <t>Descripción</t>
  </si>
  <si>
    <t xml:space="preserve">No conformidad </t>
  </si>
  <si>
    <t xml:space="preserve">Valor que requiere atención y justificación en el apartado de observaciones </t>
  </si>
  <si>
    <t xml:space="preserve">Valor suficiente </t>
  </si>
  <si>
    <t xml:space="preserve">Semaforización </t>
  </si>
  <si>
    <t>*Registre el valor nominal solicitado en la celda, el resultado proporcional esta automatizado.</t>
  </si>
  <si>
    <t xml:space="preserve">% AVANCE REGISTRADO </t>
  </si>
  <si>
    <t>Distrito 01</t>
  </si>
  <si>
    <t>Distrito 02</t>
  </si>
  <si>
    <t>Distrito 03</t>
  </si>
  <si>
    <t>Distrito 05</t>
  </si>
  <si>
    <t>Distrito 04</t>
  </si>
  <si>
    <t>Estatal</t>
  </si>
  <si>
    <t>Distrito 06</t>
  </si>
  <si>
    <t>Distrito 07</t>
  </si>
  <si>
    <t>Dueño de Proceso</t>
  </si>
  <si>
    <t xml:space="preserve"> Auxiliar de Atención Ciudadana</t>
  </si>
  <si>
    <t>Operador de Equipo Tecnológico</t>
  </si>
  <si>
    <t>Responsable de Módulo</t>
  </si>
  <si>
    <t>(Número de Archivos de Transacción aceptados /Total de Archivos de Transacción procesados) x100</t>
  </si>
  <si>
    <t>Número de Archivos de Transacción aceptados</t>
  </si>
  <si>
    <t>Total de Archivos de Transacción procesados</t>
  </si>
  <si>
    <t>Número de trámites aplicados</t>
  </si>
  <si>
    <t>Distrito 08</t>
  </si>
  <si>
    <t>Distrito 09</t>
  </si>
  <si>
    <t>Distrito 10</t>
  </si>
  <si>
    <t>Distrito 11</t>
  </si>
  <si>
    <t>(Número de trámites exitosos / Número de trámites aplicados) x 100</t>
  </si>
  <si>
    <t>Número de trámites exitosos</t>
  </si>
  <si>
    <t>(Credenciales en resguardo / Credenciales totales en SIIRFE disponibles para entrega) x 100</t>
  </si>
  <si>
    <t>Credenciales en resguardo</t>
  </si>
  <si>
    <t>Credenciales totales en SIIRFE disponibles para entrega</t>
  </si>
  <si>
    <t xml:space="preserve">Total de credenciales entregadas </t>
  </si>
  <si>
    <t xml:space="preserve"> Total de credenciales solicitadas</t>
  </si>
  <si>
    <t>(Total de credenciales entregadas / Total de credenciales solicitadas) x 100</t>
  </si>
  <si>
    <t>(Número de trámites aplicados / (Número de fichas requisitadas - Notificaciones de improcedencia de trámite)) x 100</t>
  </si>
  <si>
    <t>Número de fichas requisitadas - Notificaciones de improcedencia de trámite</t>
  </si>
  <si>
    <t xml:space="preserve">Credenciales recibidas </t>
  </si>
  <si>
    <t>((Credenciales recibidas - Credenciales inconsistentes) / Credenciales recibidas) x 100</t>
  </si>
  <si>
    <t xml:space="preserve">Credenciales Recibidas - Credenciales inconsistentes </t>
  </si>
  <si>
    <t>INSTITUTO NACIONAL ELECTORAL
SISTEMA DE GESTIÓN DE LA CALIDAD
MICHOACÁN</t>
  </si>
  <si>
    <t>CAMPAÑA ANUAL INTENSA 2023_2024</t>
  </si>
  <si>
    <t>Fecha de corte 31/12/2023</t>
  </si>
  <si>
    <t>2023-37</t>
  </si>
  <si>
    <t>2023-38</t>
  </si>
  <si>
    <t>2023-39</t>
  </si>
  <si>
    <t>2023-40</t>
  </si>
  <si>
    <t>2023-41</t>
  </si>
  <si>
    <t>2023-42</t>
  </si>
  <si>
    <t>2023-43</t>
  </si>
  <si>
    <t>2023-44</t>
  </si>
  <si>
    <t>2023-45</t>
  </si>
  <si>
    <t>2023-46</t>
  </si>
  <si>
    <t>2023-47</t>
  </si>
  <si>
    <t>2023-48</t>
  </si>
  <si>
    <t>2023-49</t>
  </si>
  <si>
    <t>2023-50</t>
  </si>
  <si>
    <t>2023-51</t>
  </si>
  <si>
    <t>2023-52</t>
  </si>
  <si>
    <t>2023-53</t>
  </si>
  <si>
    <t>2023-54</t>
  </si>
  <si>
    <t>Version 1</t>
  </si>
  <si>
    <t>fecha de emisión: septiembre del 2023</t>
  </si>
  <si>
    <t>TABLERO DE CONTROL DISTRITAL DE PROCESOS SUSTANTIVOS DEL SISTEMA DE GESTIÓN DE LA CALIDAD 2023 -2024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</si>
</sst>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33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1"/>
      <color theme="3"/>
      <name val="Arial"/>
      <family val="2"/>
    </font>
    <font>
      <sz val="11"/>
      <name val="Tahoma"/>
      <family val="2"/>
    </font>
    <font>
      <b/>
      <sz val="11"/>
      <color rgb="FF333F4F"/>
      <name val="Arial"/>
      <family val="2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0"/>
      <color theme="3" tint="-0.249977111117893"/>
      <name val="Arial"/>
      <family val="2"/>
    </font>
    <font>
      <sz val="9"/>
      <color rgb="FF333F4F"/>
      <name val="Arial"/>
      <family val="2"/>
    </font>
    <font>
      <sz val="9"/>
      <color theme="1"/>
      <name val="Arial"/>
      <family val="2"/>
    </font>
    <font>
      <sz val="10"/>
      <color rgb="FF333F4F"/>
      <name val="Arial"/>
      <family val="2"/>
    </font>
    <font>
      <b/>
      <sz val="10"/>
      <color rgb="FF333F4F"/>
      <name val="Arial"/>
      <family val="2"/>
    </font>
    <font>
      <b/>
      <sz val="8"/>
      <color theme="0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1"/>
      <color theme="1"/>
      <name val="Arial"/>
      <family val="2"/>
    </font>
    <font>
      <b/>
      <sz val="14"/>
      <color theme="3"/>
      <name val="Arial"/>
      <family val="2"/>
    </font>
    <font>
      <b/>
      <sz val="14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b/>
      <sz val="16"/>
      <color theme="0"/>
      <name val="Arial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b/>
      <sz val="9"/>
      <color theme="0"/>
      <name val="Arial"/>
      <family val="2"/>
    </font>
    <font>
      <b/>
      <sz val="9"/>
      <color theme="3"/>
      <name val="Arial"/>
      <family val="2"/>
    </font>
    <font>
      <b/>
      <sz val="1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950054"/>
        <bgColor indexed="64"/>
      </patternFill>
    </fill>
    <fill>
      <patternFill patternType="solid">
        <fgColor rgb="FFEBF1DE"/>
        <bgColor rgb="FFEBF1DE"/>
      </patternFill>
    </fill>
    <fill>
      <patternFill patternType="solid">
        <fgColor theme="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E98BD7"/>
        <bgColor indexed="64"/>
      </patternFill>
    </fill>
    <fill>
      <patternFill patternType="solid">
        <fgColor rgb="FFD5007F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2B2B2"/>
        <bgColor indexed="64"/>
      </patternFill>
    </fill>
  </fills>
  <borders count="2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double">
        <color theme="2"/>
      </left>
      <right style="double">
        <color theme="2"/>
      </right>
      <top style="double">
        <color theme="2"/>
      </top>
      <bottom style="double">
        <color theme="2"/>
      </bottom>
      <diagonal/>
    </border>
    <border>
      <left style="double">
        <color theme="0" tint="-0.499984740745262"/>
      </left>
      <right style="double">
        <color theme="0" tint="-0.499984740745262"/>
      </right>
      <top style="double">
        <color theme="0" tint="-0.499984740745262"/>
      </top>
      <bottom style="double">
        <color theme="0" tint="-0.499984740745262"/>
      </bottom>
      <diagonal/>
    </border>
    <border>
      <left style="double">
        <color theme="0" tint="-0.499984740745262"/>
      </left>
      <right/>
      <top style="double">
        <color theme="0" tint="-0.499984740745262"/>
      </top>
      <bottom style="double">
        <color theme="0" tint="-0.499984740745262"/>
      </bottom>
      <diagonal/>
    </border>
    <border>
      <left/>
      <right/>
      <top style="double">
        <color theme="0" tint="-0.499984740745262"/>
      </top>
      <bottom style="double">
        <color theme="0" tint="-0.499984740745262"/>
      </bottom>
      <diagonal/>
    </border>
    <border>
      <left/>
      <right style="double">
        <color theme="0" tint="-0.499984740745262"/>
      </right>
      <top style="double">
        <color theme="0" tint="-0.499984740745262"/>
      </top>
      <bottom style="double">
        <color theme="0" tint="-0.499984740745262"/>
      </bottom>
      <diagonal/>
    </border>
    <border>
      <left style="double">
        <color rgb="FFB2B2B2"/>
      </left>
      <right/>
      <top style="double">
        <color rgb="FFB2B2B2"/>
      </top>
      <bottom style="double">
        <color rgb="FFB2B2B2"/>
      </bottom>
      <diagonal/>
    </border>
    <border>
      <left/>
      <right/>
      <top style="double">
        <color rgb="FFB2B2B2"/>
      </top>
      <bottom style="double">
        <color rgb="FFB2B2B2"/>
      </bottom>
      <diagonal/>
    </border>
    <border>
      <left/>
      <right style="double">
        <color rgb="FFB2B2B2"/>
      </right>
      <top style="double">
        <color rgb="FFB2B2B2"/>
      </top>
      <bottom style="double">
        <color rgb="FFB2B2B2"/>
      </bottom>
      <diagonal/>
    </border>
    <border>
      <left/>
      <right style="double">
        <color rgb="FFB2B2B2"/>
      </right>
      <top style="double">
        <color rgb="FFB2B2B2"/>
      </top>
      <bottom/>
      <diagonal/>
    </border>
    <border>
      <left/>
      <right style="double">
        <color rgb="FFB2B2B2"/>
      </right>
      <top/>
      <bottom style="double">
        <color rgb="FFB2B2B2"/>
      </bottom>
      <diagonal/>
    </border>
    <border>
      <left style="double">
        <color rgb="FFB2B2B2"/>
      </left>
      <right/>
      <top/>
      <bottom style="double">
        <color rgb="FFB2B2B2"/>
      </bottom>
      <diagonal/>
    </border>
    <border>
      <left/>
      <right/>
      <top/>
      <bottom style="double">
        <color rgb="FFB2B2B2"/>
      </bottom>
      <diagonal/>
    </border>
    <border>
      <left/>
      <right/>
      <top style="double">
        <color rgb="FFB2B2B2"/>
      </top>
      <bottom/>
      <diagonal/>
    </border>
    <border>
      <left style="double">
        <color rgb="FFB2B2B2"/>
      </left>
      <right/>
      <top style="double">
        <color rgb="FFB2B2B2"/>
      </top>
      <bottom/>
      <diagonal/>
    </border>
  </borders>
  <cellStyleXfs count="16">
    <xf numFmtId="0" fontId="0" fillId="0" borderId="0"/>
    <xf numFmtId="0" fontId="1" fillId="0" borderId="0"/>
    <xf numFmtId="9" fontId="2" fillId="0" borderId="0" applyFont="0" applyFill="0" applyBorder="0" applyAlignment="0" applyProtection="0"/>
    <xf numFmtId="0" fontId="7" fillId="3" borderId="0" applyFont="0" applyBorder="0" applyAlignment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46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 vertical="top"/>
    </xf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26" fillId="0" borderId="0" xfId="0" applyFont="1" applyAlignment="1">
      <alignment horizontal="justify" vertical="center" wrapText="1"/>
    </xf>
    <xf numFmtId="49" fontId="26" fillId="0" borderId="0" xfId="0" applyNumberFormat="1" applyFont="1" applyAlignment="1">
      <alignment horizontal="right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 vertical="top" wrapText="1"/>
    </xf>
    <xf numFmtId="0" fontId="26" fillId="0" borderId="0" xfId="0" applyFont="1" applyAlignment="1">
      <alignment horizontal="center" vertical="center" wrapText="1"/>
    </xf>
    <xf numFmtId="2" fontId="22" fillId="0" borderId="0" xfId="0" applyNumberFormat="1" applyFont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2" fontId="22" fillId="0" borderId="10" xfId="0" applyNumberFormat="1" applyFont="1" applyBorder="1" applyAlignment="1">
      <alignment horizontal="center" vertical="center" wrapText="1"/>
    </xf>
    <xf numFmtId="0" fontId="25" fillId="0" borderId="0" xfId="0" applyFont="1" applyAlignment="1">
      <alignment vertical="center" wrapText="1"/>
    </xf>
    <xf numFmtId="0" fontId="6" fillId="0" borderId="7" xfId="0" applyFont="1" applyBorder="1" applyAlignment="1">
      <alignment vertical="top"/>
    </xf>
    <xf numFmtId="0" fontId="6" fillId="0" borderId="8" xfId="0" applyFont="1" applyBorder="1" applyAlignment="1">
      <alignment vertical="top"/>
    </xf>
    <xf numFmtId="0" fontId="1" fillId="0" borderId="0" xfId="0" applyFont="1" applyAlignment="1">
      <alignment horizontal="center"/>
    </xf>
    <xf numFmtId="49" fontId="26" fillId="0" borderId="0" xfId="0" applyNumberFormat="1" applyFont="1" applyAlignment="1">
      <alignment vertical="center" wrapText="1"/>
    </xf>
    <xf numFmtId="0" fontId="26" fillId="0" borderId="0" xfId="0" applyFont="1" applyAlignment="1">
      <alignment vertical="center" wrapText="1"/>
    </xf>
    <xf numFmtId="1" fontId="10" fillId="2" borderId="10" xfId="0" applyNumberFormat="1" applyFont="1" applyFill="1" applyBorder="1" applyAlignment="1">
      <alignment horizontal="center" vertical="top" wrapText="1"/>
    </xf>
    <xf numFmtId="3" fontId="19" fillId="4" borderId="13" xfId="4" applyNumberFormat="1" applyFont="1" applyFill="1" applyBorder="1" applyAlignment="1">
      <alignment horizontal="center" vertical="center"/>
    </xf>
    <xf numFmtId="0" fontId="28" fillId="2" borderId="13" xfId="0" applyFont="1" applyFill="1" applyBorder="1" applyAlignment="1">
      <alignment horizontal="center" vertical="center" wrapText="1"/>
    </xf>
    <xf numFmtId="3" fontId="12" fillId="4" borderId="13" xfId="0" applyNumberFormat="1" applyFont="1" applyFill="1" applyBorder="1" applyAlignment="1">
      <alignment horizontal="center" vertical="center" wrapText="1"/>
    </xf>
    <xf numFmtId="0" fontId="1" fillId="6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7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3" fontId="17" fillId="4" borderId="1" xfId="5" applyNumberFormat="1" applyFont="1" applyFill="1" applyBorder="1" applyAlignment="1">
      <alignment horizontal="center" vertical="center" wrapText="1"/>
    </xf>
    <xf numFmtId="0" fontId="13" fillId="4" borderId="4" xfId="5" applyNumberFormat="1" applyFont="1" applyFill="1" applyBorder="1" applyAlignment="1">
      <alignment horizontal="center" vertical="center" wrapText="1"/>
    </xf>
    <xf numFmtId="0" fontId="13" fillId="4" borderId="4" xfId="5" applyNumberFormat="1" applyFont="1" applyFill="1" applyBorder="1" applyAlignment="1">
      <alignment horizontal="center" wrapText="1"/>
    </xf>
    <xf numFmtId="0" fontId="6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9" fontId="21" fillId="0" borderId="8" xfId="5" applyFont="1" applyFill="1" applyBorder="1" applyAlignment="1">
      <alignment horizontal="center" vertical="center"/>
    </xf>
    <xf numFmtId="3" fontId="18" fillId="0" borderId="8" xfId="5" applyNumberFormat="1" applyFont="1" applyFill="1" applyBorder="1" applyAlignment="1">
      <alignment horizontal="center" vertical="center" wrapText="1"/>
    </xf>
    <xf numFmtId="0" fontId="30" fillId="2" borderId="13" xfId="0" applyFont="1" applyFill="1" applyBorder="1" applyAlignment="1">
      <alignment horizontal="center" vertical="center" wrapText="1"/>
    </xf>
    <xf numFmtId="3" fontId="5" fillId="2" borderId="13" xfId="4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9" fontId="20" fillId="0" borderId="0" xfId="4" applyNumberFormat="1" applyFont="1" applyFill="1" applyBorder="1" applyAlignment="1">
      <alignment horizontal="center" vertical="center"/>
    </xf>
    <xf numFmtId="3" fontId="12" fillId="0" borderId="0" xfId="0" applyNumberFormat="1" applyFont="1" applyAlignment="1">
      <alignment horizontal="center" vertical="center" wrapText="1"/>
    </xf>
    <xf numFmtId="3" fontId="5" fillId="0" borderId="0" xfId="4" applyNumberFormat="1" applyFont="1" applyFill="1" applyBorder="1" applyAlignment="1">
      <alignment horizontal="center" vertical="center"/>
    </xf>
    <xf numFmtId="9" fontId="22" fillId="0" borderId="0" xfId="5" applyFont="1" applyFill="1" applyBorder="1" applyAlignment="1">
      <alignment horizontal="center" vertical="center" wrapText="1"/>
    </xf>
    <xf numFmtId="0" fontId="31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17" fillId="0" borderId="0" xfId="0" applyFont="1" applyAlignment="1">
      <alignment wrapText="1"/>
    </xf>
    <xf numFmtId="0" fontId="21" fillId="0" borderId="0" xfId="0" applyFont="1" applyAlignment="1">
      <alignment horizontal="right" vertical="center"/>
    </xf>
    <xf numFmtId="3" fontId="19" fillId="4" borderId="13" xfId="14" applyNumberFormat="1" applyFont="1" applyFill="1" applyBorder="1" applyAlignment="1">
      <alignment horizontal="center" vertical="center"/>
    </xf>
    <xf numFmtId="3" fontId="5" fillId="2" borderId="13" xfId="14" applyNumberFormat="1" applyFont="1" applyFill="1" applyBorder="1" applyAlignment="1">
      <alignment horizontal="center" vertical="center"/>
    </xf>
    <xf numFmtId="3" fontId="19" fillId="4" borderId="13" xfId="15" applyNumberFormat="1" applyFont="1" applyFill="1" applyBorder="1" applyAlignment="1">
      <alignment horizontal="center" vertical="center"/>
    </xf>
    <xf numFmtId="3" fontId="5" fillId="2" borderId="13" xfId="15" applyNumberFormat="1" applyFont="1" applyFill="1" applyBorder="1" applyAlignment="1">
      <alignment horizontal="center" vertical="center"/>
    </xf>
    <xf numFmtId="3" fontId="19" fillId="4" borderId="13" xfId="12" applyNumberFormat="1" applyFont="1" applyFill="1" applyBorder="1" applyAlignment="1">
      <alignment horizontal="center" vertical="center"/>
    </xf>
    <xf numFmtId="3" fontId="5" fillId="2" borderId="13" xfId="12" applyNumberFormat="1" applyFont="1" applyFill="1" applyBorder="1" applyAlignment="1">
      <alignment horizontal="center" vertical="center"/>
    </xf>
    <xf numFmtId="3" fontId="19" fillId="4" borderId="13" xfId="13" applyNumberFormat="1" applyFont="1" applyFill="1" applyBorder="1" applyAlignment="1">
      <alignment horizontal="center" vertical="center"/>
    </xf>
    <xf numFmtId="3" fontId="5" fillId="2" borderId="13" xfId="13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right" vertical="center"/>
    </xf>
    <xf numFmtId="9" fontId="22" fillId="8" borderId="10" xfId="2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9" fontId="21" fillId="0" borderId="2" xfId="4" applyNumberFormat="1" applyFont="1" applyFill="1" applyBorder="1" applyAlignment="1">
      <alignment horizontal="center" vertical="center"/>
    </xf>
    <xf numFmtId="9" fontId="21" fillId="0" borderId="3" xfId="4" applyNumberFormat="1" applyFont="1" applyFill="1" applyBorder="1" applyAlignment="1">
      <alignment horizontal="center" vertical="center"/>
    </xf>
    <xf numFmtId="0" fontId="6" fillId="0" borderId="10" xfId="0" applyFont="1" applyBorder="1" applyAlignment="1">
      <alignment horizontal="left" vertical="top"/>
    </xf>
    <xf numFmtId="0" fontId="6" fillId="0" borderId="0" xfId="0" applyFont="1" applyAlignment="1">
      <alignment horizontal="left" vertical="top"/>
    </xf>
    <xf numFmtId="0" fontId="27" fillId="2" borderId="0" xfId="0" applyFont="1" applyFill="1" applyAlignment="1">
      <alignment horizontal="center" vertical="center"/>
    </xf>
    <xf numFmtId="0" fontId="16" fillId="2" borderId="2" xfId="0" applyFont="1" applyFill="1" applyBorder="1" applyAlignment="1">
      <alignment horizontal="center" vertical="center" textRotation="90"/>
    </xf>
    <xf numFmtId="0" fontId="16" fillId="2" borderId="11" xfId="0" applyFont="1" applyFill="1" applyBorder="1" applyAlignment="1">
      <alignment horizontal="center" vertical="center" textRotation="90"/>
    </xf>
    <xf numFmtId="0" fontId="16" fillId="2" borderId="3" xfId="0" applyFont="1" applyFill="1" applyBorder="1" applyAlignment="1">
      <alignment horizontal="center" vertical="center" textRotation="90"/>
    </xf>
    <xf numFmtId="9" fontId="21" fillId="0" borderId="2" xfId="5" applyFont="1" applyFill="1" applyBorder="1" applyAlignment="1">
      <alignment horizontal="center" vertical="center"/>
    </xf>
    <xf numFmtId="9" fontId="21" fillId="0" borderId="3" xfId="5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top"/>
    </xf>
    <xf numFmtId="0" fontId="6" fillId="0" borderId="8" xfId="0" applyFont="1" applyBorder="1" applyAlignment="1">
      <alignment horizontal="left" vertical="top"/>
    </xf>
    <xf numFmtId="0" fontId="5" fillId="2" borderId="11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27" fillId="5" borderId="0" xfId="0" applyFont="1" applyFill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right" vertical="top" wrapText="1"/>
    </xf>
    <xf numFmtId="0" fontId="21" fillId="0" borderId="0" xfId="0" applyFont="1" applyAlignment="1">
      <alignment horizontal="right" vertical="center" wrapText="1"/>
    </xf>
    <xf numFmtId="0" fontId="26" fillId="0" borderId="0" xfId="0" applyFont="1" applyAlignment="1">
      <alignment horizontal="right" vertical="center" wrapText="1"/>
    </xf>
    <xf numFmtId="0" fontId="28" fillId="2" borderId="18" xfId="0" applyFont="1" applyFill="1" applyBorder="1" applyAlignment="1">
      <alignment horizontal="center" vertical="center"/>
    </xf>
    <xf numFmtId="0" fontId="28" fillId="2" borderId="19" xfId="0" applyFont="1" applyFill="1" applyBorder="1" applyAlignment="1">
      <alignment horizontal="center" vertical="center"/>
    </xf>
    <xf numFmtId="0" fontId="28" fillId="2" borderId="17" xfId="0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164" fontId="22" fillId="4" borderId="13" xfId="5" applyNumberFormat="1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9" fontId="20" fillId="0" borderId="13" xfId="4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26" fillId="0" borderId="0" xfId="0" applyFont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textRotation="90"/>
    </xf>
    <xf numFmtId="0" fontId="4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 wrapText="1"/>
    </xf>
    <xf numFmtId="2" fontId="4" fillId="10" borderId="14" xfId="0" applyNumberFormat="1" applyFont="1" applyFill="1" applyBorder="1" applyAlignment="1">
      <alignment horizontal="center" vertical="center" wrapText="1"/>
    </xf>
    <xf numFmtId="2" fontId="4" fillId="10" borderId="15" xfId="0" applyNumberFormat="1" applyFont="1" applyFill="1" applyBorder="1" applyAlignment="1">
      <alignment horizontal="center" vertical="center" wrapText="1"/>
    </xf>
    <xf numFmtId="0" fontId="4" fillId="9" borderId="14" xfId="0" applyFont="1" applyFill="1" applyBorder="1" applyAlignment="1">
      <alignment horizontal="center" vertical="center"/>
    </xf>
    <xf numFmtId="0" fontId="4" fillId="9" borderId="15" xfId="0" applyFont="1" applyFill="1" applyBorder="1" applyAlignment="1">
      <alignment horizontal="center" vertical="center"/>
    </xf>
    <xf numFmtId="0" fontId="9" fillId="0" borderId="0" xfId="0" applyFont="1" applyAlignment="1">
      <alignment horizontal="right" vertical="center" wrapText="1"/>
    </xf>
  </cellXfs>
  <cellStyles count="16">
    <cellStyle name="FONS" xfId="3" xr:uid="{00000000-0005-0000-0000-000000000000}"/>
    <cellStyle name="Millares 2" xfId="4" xr:uid="{00000000-0005-0000-0000-000002000000}"/>
    <cellStyle name="Millares 2 2" xfId="7" xr:uid="{00000000-0005-0000-0000-000003000000}"/>
    <cellStyle name="Millares 2 2 2" xfId="11" xr:uid="{D7C0D27F-2E5F-455E-96D5-BED197C62DDA}"/>
    <cellStyle name="Millares 2 2 2 2" xfId="13" xr:uid="{A124732F-C8FF-44B9-8359-29D818883EFE}"/>
    <cellStyle name="Millares 2 2 2 3" xfId="15" xr:uid="{2DFCB60C-1DEF-4F58-90C4-D43CDB8530C9}"/>
    <cellStyle name="Millares 2 3" xfId="9" xr:uid="{155B1EFC-13FE-4832-BE04-B6616CDA20C8}"/>
    <cellStyle name="Millares 2 4" xfId="14" xr:uid="{9D777E0D-B414-4873-9B7E-BFE28A1937C2}"/>
    <cellStyle name="Millares 2 5" xfId="12" xr:uid="{F629FC0A-937A-4218-A20B-E12075321A01}"/>
    <cellStyle name="Millares 3" xfId="6" xr:uid="{00000000-0005-0000-0000-000004000000}"/>
    <cellStyle name="Millares 3 2" xfId="10" xr:uid="{17C2C1A8-DDB9-41D0-B098-06C1AE70D917}"/>
    <cellStyle name="Millares 4" xfId="8" xr:uid="{D0AF9664-2131-4378-A8E2-58B829DC033D}"/>
    <cellStyle name="Normal" xfId="0" builtinId="0"/>
    <cellStyle name="Normal 2" xfId="1" xr:uid="{00000000-0005-0000-0000-000006000000}"/>
    <cellStyle name="Porcentaje" xfId="2" builtinId="5"/>
    <cellStyle name="Porcentaje 2" xfId="5" xr:uid="{00000000-0005-0000-0000-000008000000}"/>
  </cellStyles>
  <dxfs count="664"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  <dxf>
      <font>
        <b/>
        <i val="0"/>
        <color theme="0"/>
      </font>
      <fill>
        <patternFill>
          <bgColor rgb="FFE98BD7"/>
        </patternFill>
      </fill>
    </dxf>
    <dxf>
      <font>
        <b/>
        <i val="0"/>
        <color theme="0"/>
      </font>
      <fill>
        <patternFill>
          <bgColor rgb="FFD5007F"/>
        </patternFill>
      </fill>
    </dxf>
    <dxf>
      <font>
        <b/>
        <i val="0"/>
        <color theme="0"/>
      </font>
      <fill>
        <patternFill>
          <bgColor rgb="FF950054"/>
        </patternFill>
      </fill>
    </dxf>
  </dxfs>
  <tableStyles count="0" defaultTableStyle="TableStyleMedium2" defaultPivotStyle="PivotStyleLight16"/>
  <colors>
    <mruColors>
      <color rgb="FFFF69C2"/>
      <color rgb="FF972958"/>
      <color rgb="FFB2B2B2"/>
      <color rgb="FF950054"/>
      <color rgb="FFD5007F"/>
      <color rgb="FFE98BD7"/>
      <color rgb="FFB8006E"/>
      <color rgb="FFFAE2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47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customXml" Target="../customXml/item4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Relationship Id="rId48" Type="http://schemas.openxmlformats.org/officeDocument/2006/relationships/customXml" Target="../customXml/item3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customXml" Target="../customXml/item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1145045</xdr:colOff>
      <xdr:row>0</xdr:row>
      <xdr:rowOff>485774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5070" cy="4857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1145045</xdr:colOff>
      <xdr:row>0</xdr:row>
      <xdr:rowOff>485774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6BF460A-E939-43CD-B857-58135A75F9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50785" cy="4857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1145045</xdr:colOff>
      <xdr:row>0</xdr:row>
      <xdr:rowOff>485774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2469507-9011-4358-BC5A-0B474EB96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50785" cy="4857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1145045</xdr:colOff>
      <xdr:row>0</xdr:row>
      <xdr:rowOff>485774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26F6448-9872-4436-8DCB-19B5A1FB5A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50785" cy="4857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1145045</xdr:colOff>
      <xdr:row>0</xdr:row>
      <xdr:rowOff>485774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540BFAD-B5B7-4DF5-8F58-A6D450D25F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50785" cy="4857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1145045</xdr:colOff>
      <xdr:row>0</xdr:row>
      <xdr:rowOff>485774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72F930B5-A7B9-4950-BC35-F1477EA0BA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50785" cy="4857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1145045</xdr:colOff>
      <xdr:row>0</xdr:row>
      <xdr:rowOff>485774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2E826AF-94A6-4FEA-A588-59C1F1AE94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50785" cy="4857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1145045</xdr:colOff>
      <xdr:row>0</xdr:row>
      <xdr:rowOff>485774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FA755AB3-2B25-4FBC-98DA-3F604DF24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50785" cy="4857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9376" cy="4857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0E90581-8AD6-4392-BDD4-CDFA69FB8B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71601" cy="48577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FD60CB3-F4DB-44FD-A564-6B83E0EB2B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71601" cy="48577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E57C183-D6DD-46B1-8AB4-95DE5867AD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71601" cy="48577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DF98D93-3519-46F2-A5F8-21C33FF0B5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36676" cy="48577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1307A84-94A2-4A05-B436-02C11C0B4B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71601" cy="48577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2629EDF-0F4F-4D53-83DC-06DA8A1426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71601" cy="48577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07F3375-8606-4DE8-A1A6-6E3764ACB0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57631" cy="485774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F8AD8E8-B22A-45ED-8CA2-FD3BA11F6D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71601" cy="485774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38E2894-DB90-4E97-9730-611DBFB7C5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71601" cy="485774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77F4758-FF43-4A02-999D-3E11AD26A9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71601" cy="485774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6589D91-DFD5-441A-97C2-D1DF384C5C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57631" cy="485774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46201" cy="485774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7B960A1-FA90-A542-8701-29146004F1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41451" cy="485774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4BFE43-0081-9E40-9A9D-9664301BF3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41451" cy="485774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548340-EB3C-0748-BF78-3F9055A2FF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41451" cy="485774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470828D-D2B5-074C-943D-7A319D3F64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41451" cy="485774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3565C54-259B-4FBB-B33D-B341CE8CCC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71601" cy="485774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D830E65-2303-41CA-B13E-D8710259F3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71601" cy="485774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EBA8121-091C-4512-915B-ACF33671B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71601" cy="485774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193D8F9-F84F-D24A-8D29-485EA17997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41451" cy="485774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641351</xdr:colOff>
      <xdr:row>0</xdr:row>
      <xdr:rowOff>485774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746147E-AABE-4C69-B9F5-743DFFCC1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71601" cy="4857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26"/>
  <sheetViews>
    <sheetView showGridLines="0" tabSelected="1" zoomScale="51" zoomScaleNormal="51" zoomScaleSheetLayoutView="55" workbookViewId="0">
      <selection activeCell="E2" sqref="E2"/>
    </sheetView>
  </sheetViews>
  <sheetFormatPr baseColWidth="10" defaultColWidth="11.44140625" defaultRowHeight="30" customHeight="1" x14ac:dyDescent="0.25"/>
  <cols>
    <col min="1" max="1" width="3" style="1" bestFit="1" customWidth="1"/>
    <col min="2" max="2" width="25.21875" style="1" customWidth="1"/>
    <col min="3" max="3" width="21.4414062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6.21875" style="1" bestFit="1" customWidth="1"/>
    <col min="9" max="9" width="29.77734375" style="1" customWidth="1"/>
    <col min="10" max="10" width="1.44140625" style="1" customWidth="1"/>
    <col min="11" max="11" width="29.77734375" style="1" customWidth="1"/>
    <col min="12" max="12" width="1.44140625" style="1" customWidth="1"/>
    <col min="13" max="13" width="29.77734375" style="1" customWidth="1"/>
    <col min="14" max="14" width="1.44140625" style="1" customWidth="1"/>
    <col min="15" max="15" width="29.77734375" style="1" customWidth="1"/>
    <col min="16" max="16" width="1.44140625" style="1" customWidth="1"/>
    <col min="17" max="17" width="29.77734375" style="1" customWidth="1"/>
    <col min="18" max="18" width="1.44140625" style="1" customWidth="1"/>
    <col min="19" max="19" width="29.77734375" style="1" customWidth="1"/>
    <col min="20" max="20" width="1.44140625" style="1" customWidth="1"/>
    <col min="21" max="21" width="29.77734375" style="1" customWidth="1"/>
    <col min="22" max="22" width="1.44140625" style="1" customWidth="1"/>
    <col min="23" max="23" width="29.77734375" style="1" customWidth="1"/>
    <col min="24" max="24" width="1.44140625" style="1" customWidth="1"/>
    <col min="25" max="25" width="29.77734375" style="1" customWidth="1"/>
    <col min="26" max="26" width="1.44140625" style="1" customWidth="1"/>
    <col min="27" max="27" width="29.77734375" style="1" customWidth="1"/>
    <col min="28" max="28" width="1.44140625" style="1" customWidth="1"/>
    <col min="29" max="29" width="29.21875" style="1" customWidth="1"/>
    <col min="30" max="30" width="1.44140625" style="1" customWidth="1"/>
    <col min="31" max="31" width="29.21875" style="1" customWidth="1"/>
    <col min="32" max="32" width="1.21875" style="1" hidden="1" customWidth="1"/>
    <col min="33" max="33" width="29.44140625" style="1" hidden="1" customWidth="1"/>
    <col min="34" max="34" width="1.44140625" style="1" hidden="1" customWidth="1"/>
    <col min="35" max="16384" width="11.44140625" style="1"/>
  </cols>
  <sheetData>
    <row r="1" spans="1:34" ht="40.5" customHeight="1" x14ac:dyDescent="0.25">
      <c r="A1" s="107" t="s">
        <v>68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07"/>
      <c r="AG1" s="107"/>
      <c r="AH1" s="107"/>
    </row>
    <row r="2" spans="1:34" ht="40.5" customHeight="1" x14ac:dyDescent="0.25">
      <c r="A2" s="12"/>
      <c r="B2" s="12"/>
      <c r="C2" s="12"/>
      <c r="D2" s="13"/>
      <c r="E2" s="13"/>
      <c r="F2" s="13"/>
      <c r="G2" s="13"/>
      <c r="H2" s="10"/>
      <c r="I2" s="12"/>
      <c r="J2" s="12"/>
      <c r="P2" s="13"/>
      <c r="U2" s="13"/>
      <c r="V2" s="13"/>
      <c r="Z2" s="13"/>
      <c r="AC2" s="108" t="s">
        <v>70</v>
      </c>
      <c r="AD2" s="109"/>
      <c r="AE2" s="59" t="s">
        <v>89</v>
      </c>
    </row>
    <row r="3" spans="1:34" ht="31.5" customHeight="1" x14ac:dyDescent="0.25">
      <c r="A3" s="12"/>
      <c r="B3" s="6"/>
      <c r="C3" s="6"/>
      <c r="D3" s="6"/>
      <c r="E3" s="6"/>
      <c r="F3" s="6"/>
      <c r="G3" s="6"/>
      <c r="H3" s="6"/>
      <c r="AE3" s="68" t="s">
        <v>90</v>
      </c>
    </row>
    <row r="4" spans="1:34" ht="30" customHeight="1" x14ac:dyDescent="0.25">
      <c r="A4" s="84" t="s">
        <v>91</v>
      </c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</row>
    <row r="5" spans="1:34" ht="26.25" customHeight="1" x14ac:dyDescent="0.25">
      <c r="A5" s="101" t="s">
        <v>69</v>
      </c>
      <c r="B5" s="101"/>
      <c r="C5" s="101"/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1"/>
      <c r="AH5" s="101"/>
    </row>
    <row r="6" spans="1:34" ht="18" customHeight="1" x14ac:dyDescent="0.25">
      <c r="A6" s="85" t="s">
        <v>0</v>
      </c>
      <c r="B6" s="102" t="s">
        <v>22</v>
      </c>
      <c r="C6" s="103"/>
      <c r="D6" s="103"/>
      <c r="E6" s="103"/>
      <c r="F6" s="103"/>
      <c r="G6" s="103"/>
      <c r="H6" s="104"/>
      <c r="I6" s="94" t="s">
        <v>34</v>
      </c>
      <c r="J6" s="15"/>
      <c r="K6" s="94" t="s">
        <v>34</v>
      </c>
      <c r="L6" s="15"/>
      <c r="M6" s="94" t="s">
        <v>34</v>
      </c>
      <c r="N6" s="15"/>
      <c r="O6" s="94" t="s">
        <v>34</v>
      </c>
      <c r="P6" s="15"/>
      <c r="Q6" s="94" t="s">
        <v>34</v>
      </c>
      <c r="S6" s="94" t="s">
        <v>34</v>
      </c>
      <c r="U6" s="94" t="s">
        <v>34</v>
      </c>
      <c r="V6" s="15"/>
      <c r="W6" s="94" t="s">
        <v>34</v>
      </c>
      <c r="X6" s="15"/>
      <c r="Y6" s="94" t="s">
        <v>34</v>
      </c>
      <c r="Z6" s="15"/>
      <c r="AA6" s="94" t="s">
        <v>34</v>
      </c>
      <c r="AB6" s="15"/>
      <c r="AC6" s="94" t="s">
        <v>34</v>
      </c>
      <c r="AD6" s="15"/>
      <c r="AE6" s="94" t="s">
        <v>34</v>
      </c>
    </row>
    <row r="7" spans="1:34" ht="15.6" x14ac:dyDescent="0.25">
      <c r="A7" s="86"/>
      <c r="B7" s="102" t="s">
        <v>4</v>
      </c>
      <c r="C7" s="103"/>
      <c r="D7" s="104"/>
      <c r="E7" s="102" t="s">
        <v>5</v>
      </c>
      <c r="F7" s="103"/>
      <c r="G7" s="103"/>
      <c r="H7" s="104"/>
      <c r="I7" s="94"/>
      <c r="J7" s="15"/>
      <c r="K7" s="94"/>
      <c r="L7" s="15"/>
      <c r="M7" s="94"/>
      <c r="N7" s="15"/>
      <c r="O7" s="94"/>
      <c r="P7" s="15"/>
      <c r="Q7" s="94"/>
      <c r="S7" s="94"/>
      <c r="U7" s="94"/>
      <c r="V7" s="15"/>
      <c r="W7" s="94"/>
      <c r="X7" s="15"/>
      <c r="Y7" s="94"/>
      <c r="Z7" s="15"/>
      <c r="AA7" s="94"/>
      <c r="AB7" s="15"/>
      <c r="AC7" s="94"/>
      <c r="AD7" s="15"/>
      <c r="AE7" s="94"/>
    </row>
    <row r="8" spans="1:34" s="2" customFormat="1" ht="29.25" customHeight="1" x14ac:dyDescent="0.25">
      <c r="A8" s="87"/>
      <c r="B8" s="5" t="s">
        <v>9</v>
      </c>
      <c r="C8" s="5" t="s">
        <v>43</v>
      </c>
      <c r="D8" s="5" t="s">
        <v>1</v>
      </c>
      <c r="E8" s="5" t="s">
        <v>3</v>
      </c>
      <c r="F8" s="11" t="s">
        <v>2</v>
      </c>
      <c r="G8" s="11" t="s">
        <v>6</v>
      </c>
      <c r="H8" s="11" t="s">
        <v>8</v>
      </c>
      <c r="I8" s="23" t="s">
        <v>35</v>
      </c>
      <c r="J8" s="15"/>
      <c r="K8" s="23" t="s">
        <v>36</v>
      </c>
      <c r="L8" s="15"/>
      <c r="M8" s="23" t="s">
        <v>37</v>
      </c>
      <c r="N8" s="15"/>
      <c r="O8" s="23" t="s">
        <v>39</v>
      </c>
      <c r="P8" s="15"/>
      <c r="Q8" s="23" t="s">
        <v>38</v>
      </c>
      <c r="S8" s="23" t="s">
        <v>41</v>
      </c>
      <c r="U8" s="23" t="s">
        <v>42</v>
      </c>
      <c r="V8" s="15"/>
      <c r="W8" s="23" t="s">
        <v>51</v>
      </c>
      <c r="X8" s="15"/>
      <c r="Y8" s="23" t="s">
        <v>52</v>
      </c>
      <c r="Z8" s="15"/>
      <c r="AA8" s="23" t="s">
        <v>53</v>
      </c>
      <c r="AB8" s="15"/>
      <c r="AC8" s="23" t="s">
        <v>54</v>
      </c>
      <c r="AD8" s="15"/>
      <c r="AE8" s="23" t="s">
        <v>40</v>
      </c>
    </row>
    <row r="9" spans="1:34" s="2" customFormat="1" ht="36.75" customHeight="1" x14ac:dyDescent="0.25">
      <c r="A9" s="90">
        <v>1</v>
      </c>
      <c r="B9" s="72" t="s">
        <v>10</v>
      </c>
      <c r="C9" s="72" t="s">
        <v>44</v>
      </c>
      <c r="D9" s="105" t="s">
        <v>11</v>
      </c>
      <c r="E9" s="74" t="s">
        <v>63</v>
      </c>
      <c r="F9" s="78" t="s">
        <v>12</v>
      </c>
      <c r="G9" s="80">
        <v>0.9</v>
      </c>
      <c r="H9" s="33" t="s">
        <v>50</v>
      </c>
      <c r="I9" s="69">
        <f>AVERAGE('160151'!AA10:AA11,'160152'!AA10:AA11,'160153'!AA10:AA11)</f>
        <v>0.99954581114001406</v>
      </c>
      <c r="J9" s="16"/>
      <c r="K9" s="69">
        <f>AVERAGE('160255'!AA10:AA11,'160256'!AA10:AA11,'160257'!AA10:AA11,'160258'!AA10:AA11)</f>
        <v>1</v>
      </c>
      <c r="L9" s="16"/>
      <c r="M9" s="69">
        <f>AVERAGE('160351'!AA10:AA11,'160352'!AA10:AA11,'160354'!AA10:AA11,'160355'!AA10:AA11)</f>
        <v>1</v>
      </c>
      <c r="N9" s="16"/>
      <c r="O9" s="69">
        <f>AVERAGE('160451'!AA10:AA11,'160455'!AA10:AA11,'160453'!AA10:AA11,'160454'!AA10:AA11)</f>
        <v>1.0000355517633674</v>
      </c>
      <c r="P9" s="16"/>
      <c r="Q9" s="69">
        <f>AVERAGE('160551'!AA10:AA11,'160552'!AA10:AA11,'160553'!AA10:AA11,'160554'!AA10:AA11)</f>
        <v>0.99880839818762424</v>
      </c>
      <c r="S9" s="69">
        <f>AVERAGE('160651'!AA10:AA11,'160655'!AA10:AA11,'160656'!AA10:AA11,'160654'!AA10:AA11)</f>
        <v>0.99993520798237656</v>
      </c>
      <c r="U9" s="69">
        <f>AVERAGE('160751'!AA10:AA11,'160755'!AA10:AA11,'160753'!AA10:AA11,'160754'!AA10:AA11,'160756'!AA10:AA11)</f>
        <v>0.99711902243050188</v>
      </c>
      <c r="V9" s="16"/>
      <c r="W9" s="69">
        <f>AVERAGE('160851'!AA10:AA11,'160852'!AA10:AA11)</f>
        <v>0.98508724630479683</v>
      </c>
      <c r="X9" s="16"/>
      <c r="Y9" s="69">
        <f>AVERAGE('160951'!AA10:AA11,'160952'!AA10:AA11)</f>
        <v>1</v>
      </c>
      <c r="Z9" s="16"/>
      <c r="AA9" s="69">
        <f>AVERAGE('161051'!AA10:AA11,'161052'!AA10:AA11)</f>
        <v>0.99981010254462588</v>
      </c>
      <c r="AB9" s="16"/>
      <c r="AC9" s="69">
        <f>AVERAGE('161151'!AA10:AA11,'161152'!AA10:AA11,'161153'!AA10:AA11,'161156'!AA10:AA11,'161155'!AA10:AA11)</f>
        <v>1</v>
      </c>
      <c r="AD9" s="16"/>
      <c r="AE9" s="69">
        <f>AVERAGE(I9,K9,M9,O9,Q9,S9,U9,W9,Y9,AA9,AC9)</f>
        <v>0.99821284912302777</v>
      </c>
    </row>
    <row r="10" spans="1:34" s="2" customFormat="1" ht="48.75" customHeight="1" x14ac:dyDescent="0.25">
      <c r="A10" s="91"/>
      <c r="B10" s="73"/>
      <c r="C10" s="73"/>
      <c r="D10" s="106"/>
      <c r="E10" s="75"/>
      <c r="F10" s="79"/>
      <c r="G10" s="81"/>
      <c r="H10" s="34" t="s">
        <v>64</v>
      </c>
      <c r="I10" s="69"/>
      <c r="J10" s="16"/>
      <c r="K10" s="69"/>
      <c r="L10" s="16"/>
      <c r="M10" s="69"/>
      <c r="N10" s="16"/>
      <c r="O10" s="69"/>
      <c r="P10" s="16"/>
      <c r="Q10" s="69"/>
      <c r="S10" s="69"/>
      <c r="U10" s="69"/>
      <c r="V10" s="16"/>
      <c r="W10" s="69"/>
      <c r="X10" s="16"/>
      <c r="Y10" s="69"/>
      <c r="Z10" s="16"/>
      <c r="AA10" s="69"/>
      <c r="AB10" s="16"/>
      <c r="AC10" s="69"/>
      <c r="AD10" s="16"/>
      <c r="AE10" s="69"/>
    </row>
    <row r="11" spans="1:34" s="3" customFormat="1" ht="28.5" customHeight="1" x14ac:dyDescent="0.25">
      <c r="A11" s="92"/>
      <c r="B11" s="93"/>
      <c r="C11" s="93"/>
      <c r="D11" s="93"/>
      <c r="E11" s="93"/>
      <c r="F11" s="93"/>
      <c r="G11" s="93"/>
      <c r="H11" s="93"/>
      <c r="I11" s="7"/>
      <c r="J11" s="7"/>
      <c r="K11" s="7"/>
      <c r="L11" s="7"/>
      <c r="M11" s="7"/>
      <c r="N11" s="7"/>
      <c r="O11" s="7"/>
      <c r="P11" s="7"/>
      <c r="Q11" s="7"/>
      <c r="U11" s="7"/>
      <c r="V11" s="7"/>
      <c r="W11" s="7"/>
      <c r="X11" s="7"/>
      <c r="Y11" s="7"/>
      <c r="Z11" s="7"/>
      <c r="AA11" s="7"/>
      <c r="AB11" s="7"/>
      <c r="AC11" s="7"/>
      <c r="AD11" s="7"/>
    </row>
    <row r="12" spans="1:34" s="3" customFormat="1" ht="42" customHeight="1" x14ac:dyDescent="0.25">
      <c r="A12" s="90">
        <v>2</v>
      </c>
      <c r="B12" s="72" t="s">
        <v>13</v>
      </c>
      <c r="C12" s="72" t="s">
        <v>45</v>
      </c>
      <c r="D12" s="74" t="s">
        <v>16</v>
      </c>
      <c r="E12" s="95" t="s">
        <v>55</v>
      </c>
      <c r="F12" s="78" t="s">
        <v>12</v>
      </c>
      <c r="G12" s="88">
        <v>0.9</v>
      </c>
      <c r="H12" s="35" t="s">
        <v>56</v>
      </c>
      <c r="I12" s="69">
        <f>AVERAGE('160151'!AA13:AA14,'160152'!AA13:AA14,'160153'!AA13:AA14)</f>
        <v>0.99244477947737186</v>
      </c>
      <c r="J12" s="16"/>
      <c r="K12" s="69">
        <f>AVERAGE('160255'!AA13:AA14,'160256'!AA13:AA14,'160257'!AA13:AA14,'160258'!AA13:AA14)</f>
        <v>0.9925541314119376</v>
      </c>
      <c r="L12" s="16"/>
      <c r="M12" s="69">
        <f>AVERAGE('160351'!AA13:AA14,'160352'!AA13:AA14,'160354'!AA13:AA14,'160355'!AA13:AA14)</f>
        <v>0.9904509719343686</v>
      </c>
      <c r="N12" s="16"/>
      <c r="O12" s="69">
        <f>AVERAGE('160451'!AA13:AA14,'160455'!AA13:AA14,'160453'!AA13:AA14,'160454'!AA13:AA14)</f>
        <v>0.99322513853566763</v>
      </c>
      <c r="P12" s="16"/>
      <c r="Q12" s="69">
        <f>AVERAGE('160551'!AA13:AA14,'160552'!AA13:AA14,'160553'!AA13:AA14,'160554'!AA13:AA14)</f>
        <v>0.980330376135783</v>
      </c>
      <c r="S12" s="69">
        <f>AVERAGE('160651'!AA13:AA14,'160655'!AA13:AA14,'160656'!AA13:AA14,'160654'!AA13:AA14)</f>
        <v>0.96951238083813984</v>
      </c>
      <c r="U12" s="69">
        <f>AVERAGE('160751'!AA13:AA14,'160755'!AA13:AA14,'160753'!AA13:AA14,'160754'!AA13:AA14,'160756'!AA13:AA14)</f>
        <v>0.99322272738919481</v>
      </c>
      <c r="V12" s="16"/>
      <c r="W12" s="69">
        <f>AVERAGE('160851'!AA13:AA14,'160852'!AA13:AA14)</f>
        <v>0.9919472983359614</v>
      </c>
      <c r="X12" s="16"/>
      <c r="Y12" s="69">
        <f>AVERAGE('160951'!AA13:AA14,'160952'!AA13:AA14)</f>
        <v>0.97689096996187919</v>
      </c>
      <c r="Z12" s="16"/>
      <c r="AA12" s="69">
        <f>AVERAGE('161051'!AA13:AA14,'161052'!AA13:AA14)</f>
        <v>0.98094260703942271</v>
      </c>
      <c r="AB12" s="16"/>
      <c r="AC12" s="69">
        <f>AVERAGE('161151'!AA13:AA14,'161152'!AA13:AA14,'161153'!AA13:AA14,'161156'!AA13:AA14,'161155'!AA13:AA14)</f>
        <v>0.97423116782376107</v>
      </c>
      <c r="AD12" s="16"/>
      <c r="AE12" s="69">
        <f>AVERAGE(I12,K12,M12,O12,Q12,S12,U12,W12,Y12,AA12,AC12)</f>
        <v>0.98506841353486252</v>
      </c>
    </row>
    <row r="13" spans="1:34" s="3" customFormat="1" ht="42" customHeight="1" x14ac:dyDescent="0.25">
      <c r="A13" s="91"/>
      <c r="B13" s="73"/>
      <c r="C13" s="73"/>
      <c r="D13" s="75"/>
      <c r="E13" s="96"/>
      <c r="F13" s="79"/>
      <c r="G13" s="89"/>
      <c r="H13" s="34" t="s">
        <v>50</v>
      </c>
      <c r="I13" s="69"/>
      <c r="J13" s="16"/>
      <c r="K13" s="69"/>
      <c r="L13" s="16"/>
      <c r="M13" s="69"/>
      <c r="N13" s="16"/>
      <c r="O13" s="69"/>
      <c r="P13" s="16"/>
      <c r="Q13" s="69"/>
      <c r="S13" s="69"/>
      <c r="U13" s="69"/>
      <c r="V13" s="16"/>
      <c r="W13" s="69"/>
      <c r="X13" s="16"/>
      <c r="Y13" s="69"/>
      <c r="Z13" s="16"/>
      <c r="AA13" s="69"/>
      <c r="AB13" s="16"/>
      <c r="AC13" s="69"/>
      <c r="AD13" s="16"/>
      <c r="AE13" s="69"/>
    </row>
    <row r="14" spans="1:34" s="3" customFormat="1" ht="28.5" customHeight="1" x14ac:dyDescent="0.25">
      <c r="A14" s="18"/>
      <c r="B14" s="19"/>
      <c r="C14" s="19"/>
      <c r="D14" s="19"/>
      <c r="E14" s="19"/>
      <c r="F14" s="19"/>
      <c r="G14" s="19"/>
      <c r="H14" s="19"/>
      <c r="I14" s="8"/>
      <c r="J14" s="8"/>
      <c r="K14" s="8"/>
      <c r="L14" s="8"/>
      <c r="M14" s="8"/>
      <c r="N14" s="8"/>
      <c r="O14" s="8"/>
      <c r="P14" s="8"/>
      <c r="Q14" s="8"/>
      <c r="U14" s="8"/>
      <c r="V14" s="8"/>
      <c r="W14" s="8"/>
      <c r="X14" s="8"/>
      <c r="Y14" s="8"/>
      <c r="Z14" s="8"/>
      <c r="AA14" s="8"/>
      <c r="AB14" s="8"/>
      <c r="AC14" s="8"/>
      <c r="AD14" s="8"/>
    </row>
    <row r="15" spans="1:34" s="3" customFormat="1" ht="39" customHeight="1" x14ac:dyDescent="0.2">
      <c r="A15" s="90">
        <v>3</v>
      </c>
      <c r="B15" s="72" t="s">
        <v>14</v>
      </c>
      <c r="C15" s="72" t="s">
        <v>46</v>
      </c>
      <c r="D15" s="74" t="s">
        <v>15</v>
      </c>
      <c r="E15" s="95" t="s">
        <v>47</v>
      </c>
      <c r="F15" s="99" t="s">
        <v>12</v>
      </c>
      <c r="G15" s="88">
        <v>0.9</v>
      </c>
      <c r="H15" s="36" t="s">
        <v>48</v>
      </c>
      <c r="I15" s="69">
        <f>AVERAGE('160151'!AA16:AA17,'160152'!AA16:AA17,'160153'!AA16:AA17)</f>
        <v>1</v>
      </c>
      <c r="J15" s="14"/>
      <c r="K15" s="69">
        <f>AVERAGE('160255'!AA16:AA17,'160256'!AA16:AA17,'160257'!AA16:AA17,'160258'!AA16:AA17)</f>
        <v>0.99990791896869247</v>
      </c>
      <c r="L15" s="14"/>
      <c r="M15" s="69">
        <f>AVERAGE('160351'!AA16:AA17,'160352'!AA16:AA17,'160354'!AA16:AA17,'160355'!AA16:AA17)</f>
        <v>1</v>
      </c>
      <c r="N15" s="14"/>
      <c r="O15" s="69">
        <f>AVERAGE('160451'!AA16:AA17,'160455'!AA16:AA17,'160453'!AA16:AA17,'160454'!AA16:AA17)</f>
        <v>0.99992468320652728</v>
      </c>
      <c r="P15" s="14"/>
      <c r="Q15" s="69">
        <f>AVERAGE('160551'!AA16:AA17,'160552'!AA16:AA17,'160553'!AA16:AA17,'160554'!AA16:AA17)</f>
        <v>0.99941389181187457</v>
      </c>
      <c r="S15" s="69">
        <f>AVERAGE('160651'!AA16:AA17,'160655'!AA16:AA17,'160656'!AA16:AA17,'160654'!AA16:AA17)</f>
        <v>0.99899884049010668</v>
      </c>
      <c r="U15" s="69">
        <f>AVERAGE('160751'!AA16:AA17,'160755'!AA16:AA17,'160753'!AA16:AA17,'160754'!AA16:AA17,'160756'!AA16:AA17)</f>
        <v>1</v>
      </c>
      <c r="V15" s="14"/>
      <c r="W15" s="69">
        <f>AVERAGE('160851'!AA16:AA17,'160852'!AA16:AA17)</f>
        <v>0.99994104468812639</v>
      </c>
      <c r="X15" s="14"/>
      <c r="Y15" s="69">
        <f>AVERAGE('160951'!AA16:AA17,'160952'!AA16:AA17)</f>
        <v>1</v>
      </c>
      <c r="Z15" s="14"/>
      <c r="AA15" s="69">
        <f>AVERAGE('161051'!AA16:AA17,'161052'!AA16:AA17)</f>
        <v>1</v>
      </c>
      <c r="AB15" s="14"/>
      <c r="AC15" s="69">
        <f>AVERAGE('161151'!AA16:AA17,'161152'!AA16:AA17,'161153'!AA16:AA17,'161156'!AA16:AA17,'161155'!AA16:AA17)</f>
        <v>0.96469074511087205</v>
      </c>
      <c r="AD15" s="14"/>
      <c r="AE15" s="69">
        <f>AVERAGE(I15,K15,M15,O15,Q15,S15,U15,W15,Y15,AA15,AC15)</f>
        <v>0.99662519311601805</v>
      </c>
    </row>
    <row r="16" spans="1:34" s="3" customFormat="1" ht="51" customHeight="1" x14ac:dyDescent="0.25">
      <c r="A16" s="91"/>
      <c r="B16" s="73"/>
      <c r="C16" s="73"/>
      <c r="D16" s="75"/>
      <c r="E16" s="96"/>
      <c r="F16" s="100"/>
      <c r="G16" s="89"/>
      <c r="H16" s="35" t="s">
        <v>49</v>
      </c>
      <c r="I16" s="69"/>
      <c r="J16" s="16"/>
      <c r="K16" s="69"/>
      <c r="L16" s="16"/>
      <c r="M16" s="69"/>
      <c r="N16" s="16"/>
      <c r="O16" s="69"/>
      <c r="P16" s="16"/>
      <c r="Q16" s="69"/>
      <c r="S16" s="69"/>
      <c r="U16" s="69"/>
      <c r="V16" s="16"/>
      <c r="W16" s="69"/>
      <c r="X16" s="16"/>
      <c r="Y16" s="69"/>
      <c r="Z16" s="16"/>
      <c r="AA16" s="69"/>
      <c r="AB16" s="16"/>
      <c r="AC16" s="69"/>
      <c r="AD16" s="16"/>
      <c r="AE16" s="69"/>
    </row>
    <row r="17" spans="1:31" s="3" customFormat="1" ht="28.5" customHeight="1" x14ac:dyDescent="0.25">
      <c r="A17" s="92"/>
      <c r="B17" s="93"/>
      <c r="C17" s="93"/>
      <c r="D17" s="93"/>
      <c r="E17" s="93"/>
      <c r="F17" s="93"/>
      <c r="G17" s="93"/>
      <c r="H17" s="93"/>
      <c r="I17" s="8"/>
      <c r="J17" s="8"/>
      <c r="K17" s="8"/>
      <c r="L17" s="8"/>
      <c r="M17" s="8"/>
      <c r="N17" s="8"/>
      <c r="O17" s="8"/>
      <c r="P17" s="8"/>
      <c r="Q17" s="8"/>
      <c r="U17" s="8"/>
      <c r="V17" s="8"/>
      <c r="W17" s="8"/>
      <c r="X17" s="8"/>
      <c r="Y17" s="8"/>
      <c r="Z17" s="8"/>
      <c r="AA17" s="8"/>
      <c r="AB17" s="8"/>
      <c r="AC17" s="8"/>
      <c r="AD17" s="8"/>
    </row>
    <row r="18" spans="1:31" s="3" customFormat="1" ht="45.75" customHeight="1" x14ac:dyDescent="0.25">
      <c r="A18" s="90">
        <v>4</v>
      </c>
      <c r="B18" s="72" t="s">
        <v>17</v>
      </c>
      <c r="C18" s="72" t="s">
        <v>46</v>
      </c>
      <c r="D18" s="74" t="s">
        <v>18</v>
      </c>
      <c r="E18" s="76" t="s">
        <v>66</v>
      </c>
      <c r="F18" s="99" t="s">
        <v>12</v>
      </c>
      <c r="G18" s="88">
        <v>0.9</v>
      </c>
      <c r="H18" s="35" t="s">
        <v>67</v>
      </c>
      <c r="I18" s="69">
        <f>AVERAGE('160151'!AA19:AA20,'160152'!AA19:AA20,'160153'!AA19:AA20)</f>
        <v>1</v>
      </c>
      <c r="J18" s="16"/>
      <c r="K18" s="69">
        <f>AVERAGE('160255'!AA19:AA20,'160256'!AA19:AA20,'160257'!AA19:AA20,'160258'!AA19:AA20)</f>
        <v>0.99971730116848856</v>
      </c>
      <c r="L18" s="16"/>
      <c r="M18" s="69">
        <f>AVERAGE('160351'!AA19:AA20,'160352'!AA19:AA20,'160354'!AA19:AA20,'160355'!AA19:AA20)</f>
        <v>1</v>
      </c>
      <c r="N18" s="16"/>
      <c r="O18" s="69">
        <f>AVERAGE('160451'!AA19:AA20,'160455'!AA19:AA20,'160453'!AA19:AA20,'160454'!AA19:AA20)</f>
        <v>1</v>
      </c>
      <c r="P18" s="16"/>
      <c r="Q18" s="69">
        <f>AVERAGE('160551'!AA19:AA20,'160552'!AA19:AA20,'160553'!AA19:AA20,'160554'!AA19:AA20)</f>
        <v>1</v>
      </c>
      <c r="S18" s="69">
        <f>AVERAGE('160651'!AA19:AA20,'160655'!AA19:AA20,'160656'!AA19:AA20,'160654'!AA19:AA20)</f>
        <v>1</v>
      </c>
      <c r="U18" s="69">
        <f>AVERAGE('160751'!AA19:AA20,'160755'!AA19:AA20,'160753'!AA19:AA20,'160754'!AA19:AA20,'160756'!AA19:AA20)</f>
        <v>1</v>
      </c>
      <c r="V18" s="16"/>
      <c r="W18" s="69">
        <f>AVERAGE('160851'!AA19:AA20,'160852'!AA19:AA20)</f>
        <v>0.99996833037750188</v>
      </c>
      <c r="X18" s="16"/>
      <c r="Y18" s="69">
        <f>AVERAGE('160951'!AA19:AA20,'160952'!AA19:AA20)</f>
        <v>1</v>
      </c>
      <c r="Z18" s="16"/>
      <c r="AA18" s="69">
        <f>AVERAGE('161051'!AA19:AA20,'161052'!AA19:AA20)</f>
        <v>1</v>
      </c>
      <c r="AB18" s="16"/>
      <c r="AC18" s="69">
        <f>AVERAGE('161151'!AA19:AA20,'161152'!AA19:AA20,'161153'!AA19:AA20,'161156'!AA19:AA20,'161155'!AA19:AA20)</f>
        <v>1</v>
      </c>
      <c r="AD18" s="16"/>
      <c r="AE18" s="69">
        <f>AVERAGE(I18,K18,M18,O18,Q18,S18,U18,W18,Y18,AA18,AC18)</f>
        <v>0.99997142104963543</v>
      </c>
    </row>
    <row r="19" spans="1:31" s="3" customFormat="1" ht="33.75" customHeight="1" x14ac:dyDescent="0.25">
      <c r="A19" s="91"/>
      <c r="B19" s="73"/>
      <c r="C19" s="73"/>
      <c r="D19" s="75"/>
      <c r="E19" s="77"/>
      <c r="F19" s="100"/>
      <c r="G19" s="89"/>
      <c r="H19" s="35" t="s">
        <v>65</v>
      </c>
      <c r="I19" s="69"/>
      <c r="J19" s="16"/>
      <c r="K19" s="69"/>
      <c r="L19" s="16"/>
      <c r="M19" s="69"/>
      <c r="N19" s="16"/>
      <c r="O19" s="69"/>
      <c r="P19" s="16"/>
      <c r="Q19" s="69"/>
      <c r="S19" s="69"/>
      <c r="U19" s="69"/>
      <c r="V19" s="16"/>
      <c r="W19" s="69"/>
      <c r="X19" s="16"/>
      <c r="Y19" s="69"/>
      <c r="Z19" s="16"/>
      <c r="AA19" s="69"/>
      <c r="AB19" s="16"/>
      <c r="AC19" s="69"/>
      <c r="AD19" s="16"/>
      <c r="AE19" s="69"/>
    </row>
    <row r="20" spans="1:31" s="3" customFormat="1" ht="28.5" customHeight="1" x14ac:dyDescent="0.25">
      <c r="A20" s="37"/>
      <c r="B20" s="38"/>
      <c r="C20" s="38"/>
      <c r="D20" s="39"/>
      <c r="E20" s="31"/>
      <c r="F20" s="40"/>
      <c r="G20" s="41"/>
      <c r="H20" s="42"/>
      <c r="I20" s="8"/>
      <c r="J20" s="8"/>
      <c r="K20" s="8"/>
      <c r="L20" s="8"/>
      <c r="M20" s="8"/>
      <c r="N20" s="8"/>
      <c r="O20" s="8"/>
      <c r="P20" s="8"/>
      <c r="Q20" s="8"/>
      <c r="U20" s="8"/>
      <c r="V20" s="8"/>
      <c r="W20" s="8"/>
      <c r="X20" s="8"/>
      <c r="Y20" s="8"/>
      <c r="Z20" s="8"/>
      <c r="AA20" s="8"/>
      <c r="AB20" s="8"/>
      <c r="AC20" s="8"/>
      <c r="AD20" s="8"/>
    </row>
    <row r="21" spans="1:31" s="3" customFormat="1" ht="33" customHeight="1" x14ac:dyDescent="0.25">
      <c r="A21" s="90">
        <v>5</v>
      </c>
      <c r="B21" s="72" t="s">
        <v>17</v>
      </c>
      <c r="C21" s="72" t="s">
        <v>46</v>
      </c>
      <c r="D21" s="74" t="s">
        <v>18</v>
      </c>
      <c r="E21" s="76" t="s">
        <v>57</v>
      </c>
      <c r="F21" s="99" t="s">
        <v>12</v>
      </c>
      <c r="G21" s="88">
        <v>1</v>
      </c>
      <c r="H21" s="35" t="s">
        <v>58</v>
      </c>
      <c r="I21" s="69">
        <f>AVERAGE('160151'!AA22:AA23,'160152'!AA22:AA23,'160153'!AA22:AA23)</f>
        <v>1</v>
      </c>
      <c r="J21" s="16"/>
      <c r="K21" s="69">
        <f>AVERAGE('160255'!AA22:AA23,'160256'!AA22:AA23,'160257'!AA22:AA23,'160258'!AA22:AA23)</f>
        <v>1</v>
      </c>
      <c r="L21" s="16"/>
      <c r="M21" s="69">
        <f>AVERAGE('160351'!AA22:AA23,'160352'!AA22:AA23,'160354'!AA22:AA23,'160355'!AA22:AA23)</f>
        <v>1</v>
      </c>
      <c r="N21" s="16"/>
      <c r="O21" s="69">
        <f>AVERAGE('160451'!AA22:AA23,'160455'!AA22:AA23,'160453'!AA22:AA23,'160454'!AA22:AA23)</f>
        <v>1</v>
      </c>
      <c r="P21" s="16"/>
      <c r="Q21" s="69">
        <f>AVERAGE('160551'!AA22:AA23,'160552'!AA22:AA23,'160553'!AA22:AA23,'160554'!AA22:AA23)</f>
        <v>1</v>
      </c>
      <c r="S21" s="69">
        <f>AVERAGE('160651'!AA22:AA23,'160655'!AA22:AA23,'160656'!AA22:AA23,'160654'!AA22:AA23)</f>
        <v>1</v>
      </c>
      <c r="U21" s="69">
        <f>AVERAGE('160751'!AA22:AA23,'160755'!AA22:AA23,'160753'!AA22:AA23,'160754'!AA22:AA23,'160756'!AA22:AA23)</f>
        <v>1</v>
      </c>
      <c r="V21" s="16"/>
      <c r="W21" s="69">
        <f>AVERAGE('160851'!AA22:AA23,'160852'!AA22:AA23)</f>
        <v>1.0000551328702172</v>
      </c>
      <c r="X21" s="16"/>
      <c r="Y21" s="69">
        <f>AVERAGE('160951'!AA22:AA23,'160952'!AA22:AA23)</f>
        <v>1</v>
      </c>
      <c r="Z21" s="16"/>
      <c r="AA21" s="69">
        <f>AVERAGE('161051'!AA22:AA23,'161052'!AA22:AA23)</f>
        <v>1</v>
      </c>
      <c r="AB21" s="16"/>
      <c r="AC21" s="69">
        <f>AVERAGE('161151'!AA22:AA23,'161152'!AA22:AA23,'161153'!AA22:AA23,'161156'!AA22:AA23,'161155'!AA22:AA23)</f>
        <v>1</v>
      </c>
      <c r="AD21" s="16"/>
      <c r="AE21" s="69">
        <f>AVERAGE(I21,K21,M21,O21,Q21,S21,U21,W21,Y21,AA21,AC21)</f>
        <v>1.0000050120791106</v>
      </c>
    </row>
    <row r="22" spans="1:31" s="4" customFormat="1" ht="46.5" customHeight="1" x14ac:dyDescent="0.25">
      <c r="A22" s="91"/>
      <c r="B22" s="73"/>
      <c r="C22" s="73"/>
      <c r="D22" s="75"/>
      <c r="E22" s="77"/>
      <c r="F22" s="100"/>
      <c r="G22" s="89"/>
      <c r="H22" s="35" t="s">
        <v>59</v>
      </c>
      <c r="I22" s="69"/>
      <c r="J22" s="16"/>
      <c r="K22" s="69"/>
      <c r="L22" s="16"/>
      <c r="M22" s="69"/>
      <c r="N22" s="16"/>
      <c r="O22" s="69"/>
      <c r="P22" s="16"/>
      <c r="Q22" s="69"/>
      <c r="S22" s="69"/>
      <c r="U22" s="69"/>
      <c r="V22" s="16"/>
      <c r="W22" s="69"/>
      <c r="X22" s="16"/>
      <c r="Y22" s="69"/>
      <c r="Z22" s="16"/>
      <c r="AA22" s="69"/>
      <c r="AB22" s="16"/>
      <c r="AC22" s="69"/>
      <c r="AD22" s="16"/>
      <c r="AE22" s="69"/>
    </row>
    <row r="23" spans="1:31" s="4" customFormat="1" ht="22.8" x14ac:dyDescent="0.25">
      <c r="A23" s="97"/>
      <c r="B23" s="98"/>
      <c r="C23" s="98"/>
      <c r="D23" s="98"/>
      <c r="E23" s="98"/>
      <c r="F23" s="98"/>
      <c r="G23" s="98"/>
      <c r="H23" s="98"/>
      <c r="I23" s="14"/>
      <c r="J23" s="14"/>
    </row>
    <row r="24" spans="1:31" ht="33.75" customHeight="1" x14ac:dyDescent="0.25">
      <c r="A24" s="70">
        <v>6</v>
      </c>
      <c r="B24" s="72" t="s">
        <v>19</v>
      </c>
      <c r="C24" s="72" t="s">
        <v>45</v>
      </c>
      <c r="D24" s="74" t="s">
        <v>20</v>
      </c>
      <c r="E24" s="76" t="s">
        <v>62</v>
      </c>
      <c r="F24" s="78" t="s">
        <v>12</v>
      </c>
      <c r="G24" s="80">
        <v>0.9</v>
      </c>
      <c r="H24" s="35" t="s">
        <v>60</v>
      </c>
      <c r="I24" s="69">
        <f>AVERAGE('160151'!AA25:AA26,'160152'!AA25:AA26,'160153'!AA25:AA26)</f>
        <v>0.99958244603114954</v>
      </c>
      <c r="J24" s="16"/>
      <c r="K24" s="69">
        <f>AVERAGE('160255'!AA25:AA26,'160256'!AA25:AA26,'160257'!AA25:AA26,'160258'!AA25:AA26)</f>
        <v>1</v>
      </c>
      <c r="L24" s="16"/>
      <c r="M24" s="69">
        <f>AVERAGE('160351'!AA25:AA26,'160352'!AA25:AA26,'160354'!AA25:AA26,'160355'!AA25:AA26)</f>
        <v>1</v>
      </c>
      <c r="N24" s="16"/>
      <c r="O24" s="69">
        <f>AVERAGE('160451'!AA25:AA26,'160455'!AA25:AA26,'160453'!AA25:AA26,'160454'!AA25:AA26)</f>
        <v>0.99796416865301429</v>
      </c>
      <c r="P24" s="16"/>
      <c r="Q24" s="69">
        <f>AVERAGE('160551'!AA25:AA26,'160552'!AA25:AA26,'160553'!AA25:AA26,'160554'!AA25:AA26)</f>
        <v>1</v>
      </c>
      <c r="R24" s="3"/>
      <c r="S24" s="69">
        <f>AVERAGE('160651'!AA25:AA26,'160655'!AA25:AA26,'160656'!AA25:AA26,'160654'!AA25:AA26)</f>
        <v>0.99940115541778218</v>
      </c>
      <c r="T24" s="3"/>
      <c r="U24" s="69">
        <f>AVERAGE('160751'!AA25:AA26,'160755'!AA25:AA26,'160753'!AA25:AA26,'160754'!AA25:AA26,'160756'!AA25:AA26)</f>
        <v>1</v>
      </c>
      <c r="V24" s="16"/>
      <c r="W24" s="69">
        <f>AVERAGE('160851'!AA25:AA26,'160852'!AA25:AA26)</f>
        <v>0.9928332502343391</v>
      </c>
      <c r="X24" s="16"/>
      <c r="Y24" s="69">
        <f>AVERAGE('160951'!AA25:AA26,'160952'!AA25:AA26)</f>
        <v>1</v>
      </c>
      <c r="Z24" s="16"/>
      <c r="AA24" s="69">
        <f>AVERAGE('161051'!AA25:AA26,'161052'!AA25:AA26)</f>
        <v>1</v>
      </c>
      <c r="AB24" s="16"/>
      <c r="AC24" s="69">
        <f>AVERAGE('161151'!AA25:AA26,'161152'!AA25:AA26,'161153'!AA25:AA26,'161156'!AA25:AA26,'161155'!AA25:AA26)</f>
        <v>0.99745465384879706</v>
      </c>
      <c r="AD24" s="16"/>
      <c r="AE24" s="69">
        <f>AVERAGE(I24,K24,M24,O24,Q24,S24,U24,W24,Y24,AA24,AC24)</f>
        <v>0.99883960674409833</v>
      </c>
    </row>
    <row r="25" spans="1:31" ht="45" customHeight="1" x14ac:dyDescent="0.25">
      <c r="A25" s="71"/>
      <c r="B25" s="73"/>
      <c r="C25" s="73"/>
      <c r="D25" s="75"/>
      <c r="E25" s="77"/>
      <c r="F25" s="79"/>
      <c r="G25" s="81"/>
      <c r="H25" s="35" t="s">
        <v>61</v>
      </c>
      <c r="I25" s="69"/>
      <c r="J25" s="16"/>
      <c r="K25" s="69"/>
      <c r="L25" s="16"/>
      <c r="M25" s="69"/>
      <c r="N25" s="16"/>
      <c r="O25" s="69"/>
      <c r="P25" s="16"/>
      <c r="Q25" s="69"/>
      <c r="R25" s="4"/>
      <c r="S25" s="69"/>
      <c r="T25" s="4"/>
      <c r="U25" s="69"/>
      <c r="V25" s="16"/>
      <c r="W25" s="69"/>
      <c r="X25" s="16"/>
      <c r="Y25" s="69"/>
      <c r="Z25" s="16"/>
      <c r="AA25" s="69"/>
      <c r="AB25" s="16"/>
      <c r="AC25" s="69"/>
      <c r="AD25" s="16"/>
      <c r="AE25" s="69"/>
    </row>
    <row r="26" spans="1:31" ht="30" customHeight="1" x14ac:dyDescent="0.25">
      <c r="A26" s="82"/>
      <c r="B26" s="83"/>
      <c r="C26" s="83"/>
      <c r="D26" s="83"/>
      <c r="E26" s="83"/>
      <c r="F26" s="83"/>
      <c r="G26" s="83"/>
      <c r="H26" s="83"/>
    </row>
  </sheetData>
  <mergeCells count="138">
    <mergeCell ref="AE21:AE22"/>
    <mergeCell ref="U18:U19"/>
    <mergeCell ref="W18:W19"/>
    <mergeCell ref="Y18:Y19"/>
    <mergeCell ref="AA18:AA19"/>
    <mergeCell ref="AC18:AC19"/>
    <mergeCell ref="AE18:AE19"/>
    <mergeCell ref="U21:U22"/>
    <mergeCell ref="W21:W22"/>
    <mergeCell ref="Y21:Y22"/>
    <mergeCell ref="AA21:AA22"/>
    <mergeCell ref="AC21:AC22"/>
    <mergeCell ref="K9:K10"/>
    <mergeCell ref="M9:M10"/>
    <mergeCell ref="U12:U13"/>
    <mergeCell ref="W12:W13"/>
    <mergeCell ref="Y12:Y13"/>
    <mergeCell ref="AA12:AA13"/>
    <mergeCell ref="AC12:AC13"/>
    <mergeCell ref="W6:W7"/>
    <mergeCell ref="W9:W10"/>
    <mergeCell ref="Y6:Y7"/>
    <mergeCell ref="S9:S10"/>
    <mergeCell ref="O9:O10"/>
    <mergeCell ref="K18:K19"/>
    <mergeCell ref="M18:M19"/>
    <mergeCell ref="O18:O19"/>
    <mergeCell ref="Q18:Q19"/>
    <mergeCell ref="D9:D10"/>
    <mergeCell ref="E9:E10"/>
    <mergeCell ref="A1:AH1"/>
    <mergeCell ref="U15:U16"/>
    <mergeCell ref="W15:W16"/>
    <mergeCell ref="Y15:Y16"/>
    <mergeCell ref="AA15:AA16"/>
    <mergeCell ref="AC15:AC16"/>
    <mergeCell ref="AE15:AE16"/>
    <mergeCell ref="AE12:AE13"/>
    <mergeCell ref="AC2:AD2"/>
    <mergeCell ref="B7:D7"/>
    <mergeCell ref="E7:H7"/>
    <mergeCell ref="C9:C10"/>
    <mergeCell ref="I9:I10"/>
    <mergeCell ref="I12:I13"/>
    <mergeCell ref="M12:M13"/>
    <mergeCell ref="O12:O13"/>
    <mergeCell ref="Q12:Q13"/>
    <mergeCell ref="Y9:Y10"/>
    <mergeCell ref="I15:I16"/>
    <mergeCell ref="A5:AH5"/>
    <mergeCell ref="A9:A10"/>
    <mergeCell ref="B9:B10"/>
    <mergeCell ref="AE6:AE7"/>
    <mergeCell ref="AE9:AE10"/>
    <mergeCell ref="I6:I7"/>
    <mergeCell ref="K6:K7"/>
    <mergeCell ref="M6:M7"/>
    <mergeCell ref="O6:O7"/>
    <mergeCell ref="Q6:Q7"/>
    <mergeCell ref="Q9:Q10"/>
    <mergeCell ref="F9:F10"/>
    <mergeCell ref="B6:H6"/>
    <mergeCell ref="U6:U7"/>
    <mergeCell ref="U9:U10"/>
    <mergeCell ref="M15:M16"/>
    <mergeCell ref="AA6:AA7"/>
    <mergeCell ref="B12:B13"/>
    <mergeCell ref="D12:D13"/>
    <mergeCell ref="C12:C13"/>
    <mergeCell ref="AA9:AA10"/>
    <mergeCell ref="AC6:AC7"/>
    <mergeCell ref="AC9:AC10"/>
    <mergeCell ref="C21:C22"/>
    <mergeCell ref="E12:E13"/>
    <mergeCell ref="F12:F13"/>
    <mergeCell ref="G12:G13"/>
    <mergeCell ref="D15:D16"/>
    <mergeCell ref="E15:E16"/>
    <mergeCell ref="A23:H23"/>
    <mergeCell ref="A21:A22"/>
    <mergeCell ref="B21:B22"/>
    <mergeCell ref="D21:D22"/>
    <mergeCell ref="E21:E22"/>
    <mergeCell ref="F21:F22"/>
    <mergeCell ref="G21:G22"/>
    <mergeCell ref="A17:H17"/>
    <mergeCell ref="B15:B16"/>
    <mergeCell ref="F15:F16"/>
    <mergeCell ref="B18:B19"/>
    <mergeCell ref="D18:D19"/>
    <mergeCell ref="E18:E19"/>
    <mergeCell ref="F18:F19"/>
    <mergeCell ref="C15:C16"/>
    <mergeCell ref="C18:C19"/>
    <mergeCell ref="A4:AH4"/>
    <mergeCell ref="A6:A8"/>
    <mergeCell ref="G18:G19"/>
    <mergeCell ref="I21:I22"/>
    <mergeCell ref="K21:K22"/>
    <mergeCell ref="M21:M22"/>
    <mergeCell ref="O15:O16"/>
    <mergeCell ref="Q15:Q16"/>
    <mergeCell ref="K12:K13"/>
    <mergeCell ref="O21:O22"/>
    <mergeCell ref="Q21:Q22"/>
    <mergeCell ref="S12:S13"/>
    <mergeCell ref="S15:S16"/>
    <mergeCell ref="A18:A19"/>
    <mergeCell ref="I18:I19"/>
    <mergeCell ref="G15:G16"/>
    <mergeCell ref="A15:A16"/>
    <mergeCell ref="G9:G10"/>
    <mergeCell ref="A11:H11"/>
    <mergeCell ref="A12:A13"/>
    <mergeCell ref="S21:S22"/>
    <mergeCell ref="K15:K16"/>
    <mergeCell ref="S18:S19"/>
    <mergeCell ref="S6:S7"/>
    <mergeCell ref="A24:A25"/>
    <mergeCell ref="B24:B25"/>
    <mergeCell ref="C24:C25"/>
    <mergeCell ref="D24:D25"/>
    <mergeCell ref="E24:E25"/>
    <mergeCell ref="F24:F25"/>
    <mergeCell ref="G24:G25"/>
    <mergeCell ref="A26:H26"/>
    <mergeCell ref="I24:I25"/>
    <mergeCell ref="AC24:AC25"/>
    <mergeCell ref="AE24:AE25"/>
    <mergeCell ref="K24:K25"/>
    <mergeCell ref="M24:M25"/>
    <mergeCell ref="O24:O25"/>
    <mergeCell ref="Q24:Q25"/>
    <mergeCell ref="S24:S25"/>
    <mergeCell ref="U24:U25"/>
    <mergeCell ref="W24:W25"/>
    <mergeCell ref="Y24:Y25"/>
    <mergeCell ref="AA24:AA25"/>
  </mergeCells>
  <conditionalFormatting sqref="I12:I13">
    <cfRule type="dataBar" priority="13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{B74034A0-98F1-4C60-A76B-BFE43FC77856}</x14:id>
        </ext>
      </extLst>
    </cfRule>
    <cfRule type="dataBar" priority="26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{6E90A9CB-060E-554F-9761-3C911F373B70}</x14:id>
        </ext>
      </extLst>
    </cfRule>
    <cfRule type="dataBar" priority="28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{77019813-CD5D-3F49-A799-A83120732382}</x14:id>
        </ext>
      </extLst>
    </cfRule>
    <cfRule type="dataBar" priority="28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{DB7CC5FC-B3F8-F248-BCDB-895F1E8F6B99}</x14:id>
        </ext>
      </extLst>
    </cfRule>
  </conditionalFormatting>
  <conditionalFormatting sqref="I15:I16">
    <cfRule type="dataBar" priority="13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{8A2BBBE0-6141-4702-8478-25222D1C4412}</x14:id>
        </ext>
      </extLst>
    </cfRule>
    <cfRule type="dataBar" priority="26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{118CAEE7-5890-E14B-939B-DA0E28887936}</x14:id>
        </ext>
      </extLst>
    </cfRule>
    <cfRule type="dataBar" priority="28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{584AE9D9-A72B-304B-8A59-5B2DE1F4749E}</x14:id>
        </ext>
      </extLst>
    </cfRule>
    <cfRule type="dataBar" priority="28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{3FD7E935-2235-FC4D-B8A0-83794F4BBD0A}</x14:id>
        </ext>
      </extLst>
    </cfRule>
  </conditionalFormatting>
  <conditionalFormatting sqref="I18:I19">
    <cfRule type="dataBar" priority="13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{3C54B971-2FF7-464E-9050-139FB1FE1134}</x14:id>
        </ext>
      </extLst>
    </cfRule>
    <cfRule type="dataBar" priority="27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{F3B9C0DD-6FD2-AC40-A20A-4B86BD49A402}</x14:id>
        </ext>
      </extLst>
    </cfRule>
    <cfRule type="dataBar" priority="26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{6C679D22-BD30-4744-AF4F-E51E82125AC3}</x14:id>
        </ext>
      </extLst>
    </cfRule>
    <cfRule type="dataBar" priority="27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{3B0357D8-87A9-334C-B16B-2F4464C08F55}</x14:id>
        </ext>
      </extLst>
    </cfRule>
  </conditionalFormatting>
  <conditionalFormatting sqref="I21:I22">
    <cfRule type="dataBar" priority="13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{A6CB934F-2F9B-4A9C-BF4B-01758EFA7608}</x14:id>
        </ext>
      </extLst>
    </cfRule>
    <cfRule type="dataBar" priority="27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{FDE868D1-7673-3D46-A141-3698C6F99182}</x14:id>
        </ext>
      </extLst>
    </cfRule>
    <cfRule type="dataBar" priority="27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{C989B088-113C-BE4B-8BAE-4199C2B30F02}</x14:id>
        </ext>
      </extLst>
    </cfRule>
    <cfRule type="dataBar" priority="26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{8E1D3C8F-FD20-EB4D-A563-222258035C42}</x14:id>
        </ext>
      </extLst>
    </cfRule>
  </conditionalFormatting>
  <conditionalFormatting sqref="I24:I25">
    <cfRule type="dataBar" priority="13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{6006F88A-5962-40B1-8471-638837B6B105}</x14:id>
        </ext>
      </extLst>
    </cfRule>
    <cfRule type="dataBar" priority="12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{D7EC7ADA-AF7E-4AF3-B409-4443481C6C69}</x14:id>
        </ext>
      </extLst>
    </cfRule>
    <cfRule type="dataBar" priority="12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{0190B35E-85F9-45B9-96A5-C1D5D71D8D33}</x14:id>
        </ext>
      </extLst>
    </cfRule>
  </conditionalFormatting>
  <conditionalFormatting sqref="I9:J22">
    <cfRule type="dataBar" priority="41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{5EC15DF9-54FB-4FED-A908-0D1A7E1FC0B8}</x14:id>
        </ext>
      </extLst>
    </cfRule>
  </conditionalFormatting>
  <conditionalFormatting sqref="I9:J23 K9:Q22">
    <cfRule type="dataBar" priority="42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{A1D2A8DA-0DF5-44A4-8191-DD37E251674B}</x14:id>
        </ext>
      </extLst>
    </cfRule>
  </conditionalFormatting>
  <conditionalFormatting sqref="I9:Q10">
    <cfRule type="dataBar" priority="42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{1DABA211-F9E3-4E77-8709-DF86FAD7C9EE}</x14:id>
        </ext>
      </extLst>
    </cfRule>
  </conditionalFormatting>
  <conditionalFormatting sqref="I11:Q11 I17:Q17 I14:Q14 I20:Q20">
    <cfRule type="dataBar" priority="43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{DDA11D83-AEE3-4A5C-BB65-F3C88DB7EADE}</x14:id>
        </ext>
      </extLst>
    </cfRule>
  </conditionalFormatting>
  <conditionalFormatting sqref="J24:J25 N24:N25 P24:P25 L24:L25">
    <cfRule type="dataBar" priority="16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{AC710127-9475-4B83-967E-C179200509E2}</x14:id>
        </ext>
      </extLst>
    </cfRule>
  </conditionalFormatting>
  <conditionalFormatting sqref="J24:J25">
    <cfRule type="dataBar" priority="16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{F04CEDA9-4A77-4E63-B4F8-2DBA50F49FE6}</x14:id>
        </ext>
      </extLst>
    </cfRule>
  </conditionalFormatting>
  <conditionalFormatting sqref="K9:K10">
    <cfRule type="dataBar" priority="36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{8C0DF1C2-74F3-41EA-B8E5-FE52EFD39CF8}</x14:id>
        </ext>
      </extLst>
    </cfRule>
  </conditionalFormatting>
  <conditionalFormatting sqref="K12:K13">
    <cfRule type="dataBar" priority="26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{B9415FC5-E8CF-9141-AA8C-65C4DD5CD407}</x14:id>
        </ext>
      </extLst>
    </cfRule>
    <cfRule type="dataBar" priority="10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{07FA99E3-AD5E-4BC8-A1EF-0028F6305544}</x14:id>
        </ext>
      </extLst>
    </cfRule>
    <cfRule type="dataBar" priority="26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{8D0F21CC-5375-3549-B039-EE0ABF2CEECF}</x14:id>
        </ext>
      </extLst>
    </cfRule>
    <cfRule type="dataBar" priority="10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{F2C92D2E-4EF2-421F-A8FB-E31788D686FF}</x14:id>
        </ext>
      </extLst>
    </cfRule>
  </conditionalFormatting>
  <conditionalFormatting sqref="K15:K16">
    <cfRule type="dataBar" priority="10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{7FA3B85E-E37C-4475-9191-2215E61ABFAC}</x14:id>
        </ext>
      </extLst>
    </cfRule>
    <cfRule type="dataBar" priority="10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{01074E6E-7CC8-4863-9171-31A69B8ADFA5}</x14:id>
        </ext>
      </extLst>
    </cfRule>
    <cfRule type="dataBar" priority="26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{8A32701C-FFB1-A548-9DAC-B9C4B035C622}</x14:id>
        </ext>
      </extLst>
    </cfRule>
    <cfRule type="dataBar" priority="26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{66622D81-0630-7949-B11D-0F9F203F2922}</x14:id>
        </ext>
      </extLst>
    </cfRule>
  </conditionalFormatting>
  <conditionalFormatting sqref="K18:K19">
    <cfRule type="dataBar" priority="25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{3122B0A2-F4BA-594F-AECD-2952840456C2}</x14:id>
        </ext>
      </extLst>
    </cfRule>
    <cfRule type="dataBar" priority="10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{A73F5507-7EC7-4149-9F36-4D4F8A6D1930}</x14:id>
        </ext>
      </extLst>
    </cfRule>
    <cfRule type="dataBar" priority="25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{3FD09CBB-1099-3F41-BF3D-4A32F753B0AC}</x14:id>
        </ext>
      </extLst>
    </cfRule>
    <cfRule type="dataBar" priority="10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{E26B1BB7-0B0D-488C-8FE6-99F078CF08C7}</x14:id>
        </ext>
      </extLst>
    </cfRule>
  </conditionalFormatting>
  <conditionalFormatting sqref="K21:K22">
    <cfRule type="dataBar" priority="25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{4B777590-5675-284C-8E2F-8545FBA1ED09}</x14:id>
        </ext>
      </extLst>
    </cfRule>
    <cfRule type="dataBar" priority="25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{72811D18-A5B0-0F49-9B78-6E2A4223B84F}</x14:id>
        </ext>
      </extLst>
    </cfRule>
    <cfRule type="dataBar" priority="9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{D03FDD59-0C26-46EA-A6ED-733DB4DBB604}</x14:id>
        </ext>
      </extLst>
    </cfRule>
    <cfRule type="dataBar" priority="9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{697CEC29-2A9E-4892-AB46-0D80D2A69D85}</x14:id>
        </ext>
      </extLst>
    </cfRule>
  </conditionalFormatting>
  <conditionalFormatting sqref="K24:K25">
    <cfRule type="dataBar" priority="9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{7E55CAF5-00C1-453B-8E24-76D041C25454}</x14:id>
        </ext>
      </extLst>
    </cfRule>
    <cfRule type="dataBar" priority="9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{D40A8DB5-EA0D-4711-A824-3A0E7173DAA6}</x14:id>
        </ext>
      </extLst>
    </cfRule>
    <cfRule type="dataBar" priority="9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{542BE0BE-107E-4E21-A953-4DAD526100D6}</x14:id>
        </ext>
      </extLst>
    </cfRule>
    <cfRule type="dataBar" priority="9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{BAAC7EE8-4E2F-4CF8-A73C-8BD6A416B05F}</x14:id>
        </ext>
      </extLst>
    </cfRule>
  </conditionalFormatting>
  <conditionalFormatting sqref="K9:L22">
    <cfRule type="dataBar" priority="41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{24701D79-D03A-46AC-B88B-0DB1B44C5051}</x14:id>
        </ext>
      </extLst>
    </cfRule>
  </conditionalFormatting>
  <conditionalFormatting sqref="L24:L25">
    <cfRule type="dataBar" priority="16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{4311D564-A242-498D-BDA4-5980992168E6}</x14:id>
        </ext>
      </extLst>
    </cfRule>
  </conditionalFormatting>
  <conditionalFormatting sqref="M12:M13">
    <cfRule type="dataBar" priority="25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{DA43B6FA-D6F2-DB41-8895-DED8C1478771}</x14:id>
        </ext>
      </extLst>
    </cfRule>
    <cfRule type="dataBar" priority="1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{E79C3DE8-7B1B-48F5-88E8-F944E127363A}</x14:id>
        </ext>
      </extLst>
    </cfRule>
    <cfRule type="dataBar" priority="11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{CA85C58F-74CD-4640-A7F7-0F2FD949582F}</x14:id>
        </ext>
      </extLst>
    </cfRule>
  </conditionalFormatting>
  <conditionalFormatting sqref="M15:M16">
    <cfRule type="dataBar" priority="25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{3CD9E076-BF99-C846-B18D-F76F01E590D3}</x14:id>
        </ext>
      </extLst>
    </cfRule>
    <cfRule type="dataBar" priority="11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{D50CB2F7-2434-4A0A-9D20-262D53AF43A1}</x14:id>
        </ext>
      </extLst>
    </cfRule>
  </conditionalFormatting>
  <conditionalFormatting sqref="M18:M19">
    <cfRule type="dataBar" priority="25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{EE8E28D2-9624-524C-BF6D-48BA92F9E705}</x14:id>
        </ext>
      </extLst>
    </cfRule>
    <cfRule type="dataBar" priority="11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{F687BDB7-1DB1-417F-961F-3ACBAD406C43}</x14:id>
        </ext>
      </extLst>
    </cfRule>
  </conditionalFormatting>
  <conditionalFormatting sqref="M21:M22">
    <cfRule type="dataBar" priority="25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{3142DC77-CC96-5D48-8308-38F2984AE114}</x14:id>
        </ext>
      </extLst>
    </cfRule>
    <cfRule type="dataBar" priority="11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{FE2CB185-5B0D-4452-B82A-EBD5C2DAFC57}</x14:id>
        </ext>
      </extLst>
    </cfRule>
  </conditionalFormatting>
  <conditionalFormatting sqref="M24:M25 M21:M22 M18:M19 M15:M16">
    <cfRule type="dataBar" priority="1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{7A1A9E0C-F3DC-495C-925F-CB24BA6249C4}</x14:id>
        </ext>
      </extLst>
    </cfRule>
  </conditionalFormatting>
  <conditionalFormatting sqref="M24:M25">
    <cfRule type="dataBar" priority="1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{2CC82D6F-F55A-4B66-9329-17E0F9CB04F9}</x14:id>
        </ext>
      </extLst>
    </cfRule>
  </conditionalFormatting>
  <conditionalFormatting sqref="O12:O13">
    <cfRule type="dataBar" priority="9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{11CA0A48-6379-4636-99A3-75602E07EDAA}</x14:id>
        </ext>
      </extLst>
    </cfRule>
    <cfRule type="dataBar" priority="11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{AAE6E569-8967-495D-A672-F7205EEB987C}</x14:id>
        </ext>
      </extLst>
    </cfRule>
    <cfRule type="dataBar" priority="25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{23A9EEC7-6D19-3D41-BB5E-B98600B62F5E}</x14:id>
        </ext>
      </extLst>
    </cfRule>
  </conditionalFormatting>
  <conditionalFormatting sqref="O15:O16">
    <cfRule type="dataBar" priority="25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{B0D1CC1A-393D-B54B-916D-7C393A2C83C2}</x14:id>
        </ext>
      </extLst>
    </cfRule>
    <cfRule type="dataBar" priority="9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{D5BAAD88-A9AC-4BD7-B69C-85359F1141FA}</x14:id>
        </ext>
      </extLst>
    </cfRule>
    <cfRule type="dataBar" priority="9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{65D6B1D2-9EEA-4FC4-9421-3FF203BAD234}</x14:id>
        </ext>
      </extLst>
    </cfRule>
    <cfRule type="dataBar" priority="9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{2655729A-B73F-44D0-9A7D-8083F225C31B}</x14:id>
        </ext>
      </extLst>
    </cfRule>
    <cfRule type="dataBar" priority="11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{EF8130B4-17E5-4E35-9F03-B86E7F9692F4}</x14:id>
        </ext>
      </extLst>
    </cfRule>
  </conditionalFormatting>
  <conditionalFormatting sqref="O18:O19">
    <cfRule type="dataBar" priority="24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{74129B22-9B86-2741-B857-4FF5ED5AD246}</x14:id>
        </ext>
      </extLst>
    </cfRule>
    <cfRule type="dataBar" priority="8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{DFEF2C44-7EF1-43E5-8EED-451C173D5063}</x14:id>
        </ext>
      </extLst>
    </cfRule>
    <cfRule type="dataBar" priority="8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{C4A19F92-FCEE-4C87-97A7-AFFE631D4A9E}</x14:id>
        </ext>
      </extLst>
    </cfRule>
    <cfRule type="dataBar" priority="10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{C2ED09D3-C236-4D27-A483-357EAA1BD411}</x14:id>
        </ext>
      </extLst>
    </cfRule>
    <cfRule type="dataBar" priority="8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{27EACF3C-F8B5-46EB-BA60-894E0E7696E8}</x14:id>
        </ext>
      </extLst>
    </cfRule>
  </conditionalFormatting>
  <conditionalFormatting sqref="O21:O22">
    <cfRule type="dataBar" priority="8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{11D454EE-CE19-4A9B-ADD7-946E782E717C}</x14:id>
        </ext>
      </extLst>
    </cfRule>
    <cfRule type="dataBar" priority="8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{25E8627D-B22E-45C5-AA2B-49875CD29171}</x14:id>
        </ext>
      </extLst>
    </cfRule>
    <cfRule type="dataBar" priority="8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{72B38128-EAB2-498E-B736-9DACC3DC31DA}</x14:id>
        </ext>
      </extLst>
    </cfRule>
    <cfRule type="dataBar" priority="10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{ED4D1ED3-481C-40C7-82C3-600028A5D3F2}</x14:id>
        </ext>
      </extLst>
    </cfRule>
    <cfRule type="dataBar" priority="24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{35EA4659-182C-EB4D-99BA-412D1A2E8E54}</x14:id>
        </ext>
      </extLst>
    </cfRule>
  </conditionalFormatting>
  <conditionalFormatting sqref="O24:O25">
    <cfRule type="dataBar" priority="8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{8A891DFC-A83A-4F2D-A45C-C8EB9397D6CD}</x14:id>
        </ext>
      </extLst>
    </cfRule>
    <cfRule type="dataBar" priority="8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{C58FDC5F-488E-4D2C-98AD-319709842495}</x14:id>
        </ext>
      </extLst>
    </cfRule>
    <cfRule type="dataBar" priority="8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{B7AFCEBD-5508-4501-8D24-D6C8D995268F}</x14:id>
        </ext>
      </extLst>
    </cfRule>
    <cfRule type="dataBar" priority="8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{A2221282-2DED-4847-B558-251424DCE711}</x14:id>
        </ext>
      </extLst>
    </cfRule>
  </conditionalFormatting>
  <conditionalFormatting sqref="Q12:Q13">
    <cfRule type="dataBar" priority="24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{8EFE16FF-2663-E24D-A65B-E855635FB35A}</x14:id>
        </ext>
      </extLst>
    </cfRule>
    <cfRule type="dataBar" priority="7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{23883B17-3C3C-47AB-8365-1826C7529CFE}</x14:id>
        </ext>
      </extLst>
    </cfRule>
  </conditionalFormatting>
  <conditionalFormatting sqref="Q15:Q16">
    <cfRule type="dataBar" priority="24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{C2058D30-762F-A741-B189-5A6780C5B756}</x14:id>
        </ext>
      </extLst>
    </cfRule>
    <cfRule type="dataBar" priority="7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{22A762AF-828D-47BE-B45E-805FA5FAF999}</x14:id>
        </ext>
      </extLst>
    </cfRule>
  </conditionalFormatting>
  <conditionalFormatting sqref="Q18:Q19">
    <cfRule type="dataBar" priority="24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{90E5F056-EDB4-7546-A6AC-AB17CE4291BB}</x14:id>
        </ext>
      </extLst>
    </cfRule>
    <cfRule type="dataBar" priority="7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{C42EF126-F2AD-4056-AF85-B1EF728BB365}</x14:id>
        </ext>
      </extLst>
    </cfRule>
  </conditionalFormatting>
  <conditionalFormatting sqref="Q21:Q22">
    <cfRule type="dataBar" priority="24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{62715952-6D81-3A4B-B1A6-F29AB6973001}</x14:id>
        </ext>
      </extLst>
    </cfRule>
    <cfRule type="dataBar" priority="7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{9497CA57-3582-4EF7-A93E-C3F6ADB8332B}</x14:id>
        </ext>
      </extLst>
    </cfRule>
  </conditionalFormatting>
  <conditionalFormatting sqref="Q24:Q25">
    <cfRule type="dataBar" priority="7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{FCB85C2E-1B82-4175-B897-B015B0B90D1E}</x14:id>
        </ext>
      </extLst>
    </cfRule>
    <cfRule type="dataBar" priority="7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{26DF445A-3D67-4D31-94C9-03147035994F}</x14:id>
        </ext>
      </extLst>
    </cfRule>
  </conditionalFormatting>
  <conditionalFormatting sqref="S9:S10">
    <cfRule type="dataBar" priority="36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{340D090A-487C-4855-A518-99C59B589FDF}</x14:id>
        </ext>
      </extLst>
    </cfRule>
    <cfRule type="dataBar" priority="36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{CFA7B89D-CB39-4F6E-97D4-52CE5945AE41}</x14:id>
        </ext>
      </extLst>
    </cfRule>
  </conditionalFormatting>
  <conditionalFormatting sqref="S12:S13">
    <cfRule type="dataBar" priority="7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{C8B29CB6-7266-4694-92A4-E6C763577A25}</x14:id>
        </ext>
      </extLst>
    </cfRule>
    <cfRule type="dataBar" priority="7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{249C36FB-9E10-4DDA-8C64-6AE16E7A8264}</x14:id>
        </ext>
      </extLst>
    </cfRule>
  </conditionalFormatting>
  <conditionalFormatting sqref="S15:S16">
    <cfRule type="dataBar" priority="7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{7C51D9B6-917E-4315-9573-39B10990F86B}</x14:id>
        </ext>
      </extLst>
    </cfRule>
    <cfRule type="dataBar" priority="7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{9874170F-A546-4BDB-8D09-9D225AD351B2}</x14:id>
        </ext>
      </extLst>
    </cfRule>
  </conditionalFormatting>
  <conditionalFormatting sqref="S18:S19">
    <cfRule type="dataBar" priority="6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{F4B0CBCC-0527-4BC2-A2E1-47DF4CB736B1}</x14:id>
        </ext>
      </extLst>
    </cfRule>
    <cfRule type="dataBar" priority="6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{256E8767-5ED0-43F6-AAD6-362E5276E7C1}</x14:id>
        </ext>
      </extLst>
    </cfRule>
  </conditionalFormatting>
  <conditionalFormatting sqref="S21:S22">
    <cfRule type="dataBar" priority="6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{7DD1FACE-BE5C-4EF4-BC94-73599ABE1367}</x14:id>
        </ext>
      </extLst>
    </cfRule>
    <cfRule type="dataBar" priority="6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{7C89FD3F-D803-420B-B106-6BB087C7E137}</x14:id>
        </ext>
      </extLst>
    </cfRule>
  </conditionalFormatting>
  <conditionalFormatting sqref="S24:S25">
    <cfRule type="dataBar" priority="6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{C513A8C2-3D0E-4944-9BBB-5A3300F43E52}</x14:id>
        </ext>
      </extLst>
    </cfRule>
    <cfRule type="dataBar" priority="6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{A276049F-4324-494C-9748-0D774490FE97}</x14:id>
        </ext>
      </extLst>
    </cfRule>
  </conditionalFormatting>
  <conditionalFormatting sqref="U9:U10">
    <cfRule type="dataBar" priority="33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{88BDE869-EAE9-7349-9005-0854C5602095}</x14:id>
        </ext>
      </extLst>
    </cfRule>
    <cfRule type="dataBar" priority="33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{00506573-2100-C543-91E2-0F7EF3C1D1B7}</x14:id>
        </ext>
      </extLst>
    </cfRule>
  </conditionalFormatting>
  <conditionalFormatting sqref="U12:U13">
    <cfRule type="dataBar" priority="23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{BD39E1F4-DE30-1F42-97C3-E9F9A20463C6}</x14:id>
        </ext>
      </extLst>
    </cfRule>
    <cfRule type="dataBar" priority="23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{21BD4919-3625-674D-80B9-FD08322C3D39}</x14:id>
        </ext>
      </extLst>
    </cfRule>
  </conditionalFormatting>
  <conditionalFormatting sqref="U15:U16">
    <cfRule type="dataBar" priority="23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{7AA18948-8B13-054D-9805-4E98E3D6FF48}</x14:id>
        </ext>
      </extLst>
    </cfRule>
    <cfRule type="dataBar" priority="23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{EC1654E3-07A5-CB4C-BD87-62D5B71ABD50}</x14:id>
        </ext>
      </extLst>
    </cfRule>
  </conditionalFormatting>
  <conditionalFormatting sqref="U18:U19">
    <cfRule type="dataBar" priority="23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{92F08F7C-C9D9-1D4E-9920-77B986583DFC}</x14:id>
        </ext>
      </extLst>
    </cfRule>
    <cfRule type="dataBar" priority="23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{68EE73E3-2FAF-6D4C-A5CA-8EFD0C19975E}</x14:id>
        </ext>
      </extLst>
    </cfRule>
  </conditionalFormatting>
  <conditionalFormatting sqref="U21:U22">
    <cfRule type="dataBar" priority="22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{C48AAD72-6CB3-1A4B-A637-4EA55C215FC1}</x14:id>
        </ext>
      </extLst>
    </cfRule>
    <cfRule type="dataBar" priority="22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{C0CB0374-E02D-864C-93EA-D1636A248689}</x14:id>
        </ext>
      </extLst>
    </cfRule>
  </conditionalFormatting>
  <conditionalFormatting sqref="U24:U25">
    <cfRule type="dataBar" priority="15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{C0AE7E93-2B02-457D-8462-917E0B28FE9D}</x14:id>
        </ext>
      </extLst>
    </cfRule>
    <cfRule type="dataBar" priority="15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{00D8EA7E-33AC-4F3E-94B5-DB17A18C16D6}</x14:id>
        </ext>
      </extLst>
    </cfRule>
  </conditionalFormatting>
  <conditionalFormatting sqref="U11:AD11 U17:AD17 U14:AD14 U20:AD20">
    <cfRule type="dataBar" priority="81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{E7ED55FE-D87F-4A92-9171-BBC9832CEA56}</x14:id>
        </ext>
      </extLst>
    </cfRule>
  </conditionalFormatting>
  <conditionalFormatting sqref="V9:V10 X9:X10 Z9:Z10 AB9:AB10 AD9:AD10 U11:AD11 U14:AD14 V12:V13 X12:X13 Z12:Z13 AB12:AB13 AD12:AD13 U17:AD17 V15:V16 X15:X16 Z15:Z16 AB15:AB16 AD15:AD16 U20:AD20 V18:V19 X18:X19 Z18:Z19 AB18:AB19 AD18:AD19 V21:V22 X21:X22 Z21:Z22 AB21:AB22 AD21:AD22">
    <cfRule type="dataBar" priority="78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{CCD3F35F-F72A-4D27-B230-E069CCAD3A8A}</x14:id>
        </ext>
      </extLst>
    </cfRule>
  </conditionalFormatting>
  <conditionalFormatting sqref="V9:V10 X9:X10 Z9:Z10 AB9:AB10 AD9:AD10">
    <cfRule type="dataBar" priority="77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{4C0979C0-0D32-4630-B81B-C070B94018A9}</x14:id>
        </ext>
      </extLst>
    </cfRule>
  </conditionalFormatting>
  <conditionalFormatting sqref="V24:V25 X24:X25 Z24:Z25 AB24:AB25 AD24:AD25">
    <cfRule type="dataBar" priority="81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{CCC3BE0B-ABBF-449E-B382-A57A0AABB790}</x14:id>
        </ext>
      </extLst>
    </cfRule>
  </conditionalFormatting>
  <conditionalFormatting sqref="W9:W10">
    <cfRule type="dataBar" priority="32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{2177A678-5E3B-2348-9525-00976D755B51}</x14:id>
        </ext>
      </extLst>
    </cfRule>
    <cfRule type="dataBar" priority="32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{C4E2B4E4-9304-5843-B7DA-8AC039C09B55}</x14:id>
        </ext>
      </extLst>
    </cfRule>
  </conditionalFormatting>
  <conditionalFormatting sqref="W12:W13">
    <cfRule type="dataBar" priority="6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{F2E35B4B-1D77-4FA0-A214-5A3D445A1F1C}</x14:id>
        </ext>
      </extLst>
    </cfRule>
    <cfRule type="dataBar" priority="6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{7EA47B17-7B93-4DF2-8B43-F5F8343F6D60}</x14:id>
        </ext>
      </extLst>
    </cfRule>
  </conditionalFormatting>
  <conditionalFormatting sqref="W15:W16">
    <cfRule type="dataBar" priority="6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{696C4BF0-1C0A-47C3-9010-F861E6BC58EF}</x14:id>
        </ext>
      </extLst>
    </cfRule>
    <cfRule type="dataBar" priority="6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{3DD975CB-AEEF-4992-8C29-FF9EEEBB30A1}</x14:id>
        </ext>
      </extLst>
    </cfRule>
  </conditionalFormatting>
  <conditionalFormatting sqref="W18:W19">
    <cfRule type="dataBar" priority="5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{A7E3DD9B-4B42-4F50-8A4C-C5EF6793C584}</x14:id>
        </ext>
      </extLst>
    </cfRule>
    <cfRule type="dataBar" priority="5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{AB8CE0C4-8608-4A20-B513-356B78286BF5}</x14:id>
        </ext>
      </extLst>
    </cfRule>
  </conditionalFormatting>
  <conditionalFormatting sqref="W21:W22">
    <cfRule type="dataBar" priority="5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{CC91606A-F400-47A4-AC84-240AC72D9E7D}</x14:id>
        </ext>
      </extLst>
    </cfRule>
    <cfRule type="dataBar" priority="5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{7C800AC5-FECA-4004-9A6A-698F5DB8C2D5}</x14:id>
        </ext>
      </extLst>
    </cfRule>
  </conditionalFormatting>
  <conditionalFormatting sqref="W24:W25">
    <cfRule type="dataBar" priority="5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{4C33E4C2-61FE-4DCB-BDC5-C6D54890CE0D}</x14:id>
        </ext>
      </extLst>
    </cfRule>
    <cfRule type="dataBar" priority="5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{D3D22783-1C3B-4635-8334-7C203A99A2A7}</x14:id>
        </ext>
      </extLst>
    </cfRule>
  </conditionalFormatting>
  <conditionalFormatting sqref="Y9:Y10">
    <cfRule type="dataBar" priority="32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{36E7D69C-8B02-104C-868E-0A0F8DE894D8}</x14:id>
        </ext>
      </extLst>
    </cfRule>
    <cfRule type="dataBar" priority="32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{8F90D793-8142-6640-B1FC-BF19F01B7C41}</x14:id>
        </ext>
      </extLst>
    </cfRule>
  </conditionalFormatting>
  <conditionalFormatting sqref="Y12:Y13">
    <cfRule type="dataBar" priority="5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{7837CB5D-2CDC-4693-B93C-00309F66F17F}</x14:id>
        </ext>
      </extLst>
    </cfRule>
    <cfRule type="dataBar" priority="5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{1DA7C577-961F-49A1-9A0A-CD00CD28E1CA}</x14:id>
        </ext>
      </extLst>
    </cfRule>
  </conditionalFormatting>
  <conditionalFormatting sqref="Y15:Y16">
    <cfRule type="dataBar" priority="5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{A83C1894-3A2C-4104-9087-9FDF43B78CE0}</x14:id>
        </ext>
      </extLst>
    </cfRule>
    <cfRule type="dataBar" priority="5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{135006AD-99FB-4450-9EC6-5DEBF7169241}</x14:id>
        </ext>
      </extLst>
    </cfRule>
  </conditionalFormatting>
  <conditionalFormatting sqref="Y18:Y19">
    <cfRule type="dataBar" priority="4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{7922F0CA-0BF2-420D-AA33-D7A62F25DD0D}</x14:id>
        </ext>
      </extLst>
    </cfRule>
    <cfRule type="dataBar" priority="4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{9C919E30-5F5F-4D90-9084-A59F57A1F7A2}</x14:id>
        </ext>
      </extLst>
    </cfRule>
  </conditionalFormatting>
  <conditionalFormatting sqref="Y21:Y22">
    <cfRule type="dataBar" priority="4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{1CA049F5-BD00-4D92-BF43-B1317F52C5DE}</x14:id>
        </ext>
      </extLst>
    </cfRule>
    <cfRule type="dataBar" priority="4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{7D2BB60A-F52F-4A01-9737-FE9AFF8467E7}</x14:id>
        </ext>
      </extLst>
    </cfRule>
  </conditionalFormatting>
  <conditionalFormatting sqref="Y24:Y25">
    <cfRule type="dataBar" priority="4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{FCA6EDBF-1576-4DA8-B9E8-2ADB9FF830B6}</x14:id>
        </ext>
      </extLst>
    </cfRule>
    <cfRule type="dataBar" priority="4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{443F8FF6-EBA1-47BD-B2F8-856B90657C7F}</x14:id>
        </ext>
      </extLst>
    </cfRule>
  </conditionalFormatting>
  <conditionalFormatting sqref="AA9:AA10">
    <cfRule type="dataBar" priority="32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{2EFF0C78-A958-9846-9D40-D186A868DC3E}</x14:id>
        </ext>
      </extLst>
    </cfRule>
    <cfRule type="dataBar" priority="32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{BC937800-99DA-9941-A99B-5CD144BAB320}</x14:id>
        </ext>
      </extLst>
    </cfRule>
  </conditionalFormatting>
  <conditionalFormatting sqref="AA12:AA13">
    <cfRule type="dataBar" priority="4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{D9967B77-53E2-41CC-A12B-65984C1EBD63}</x14:id>
        </ext>
      </extLst>
    </cfRule>
    <cfRule type="dataBar" priority="4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{8E529BE5-9AD1-4864-A518-2706E4DD103E}</x14:id>
        </ext>
      </extLst>
    </cfRule>
  </conditionalFormatting>
  <conditionalFormatting sqref="AA15:AA16">
    <cfRule type="dataBar" priority="4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{83025083-8259-4238-B5C3-83F87A49A8FE}</x14:id>
        </ext>
      </extLst>
    </cfRule>
    <cfRule type="dataBar" priority="4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{16F31984-5641-45D4-8166-F7EB5DFA8D13}</x14:id>
        </ext>
      </extLst>
    </cfRule>
  </conditionalFormatting>
  <conditionalFormatting sqref="AA18:AA19">
    <cfRule type="dataBar" priority="3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{55247C21-F7D9-4D85-93F6-14CDFE086857}</x14:id>
        </ext>
      </extLst>
    </cfRule>
    <cfRule type="dataBar" priority="3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{1222E1C0-9B19-4446-B447-C144DF5304C0}</x14:id>
        </ext>
      </extLst>
    </cfRule>
  </conditionalFormatting>
  <conditionalFormatting sqref="AA21:AA22">
    <cfRule type="dataBar" priority="3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{5B5BFAA7-8443-4919-977E-AE01B7E3070B}</x14:id>
        </ext>
      </extLst>
    </cfRule>
    <cfRule type="dataBar" priority="3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{B14AB812-BA43-47D9-B380-C493C7FD04EF}</x14:id>
        </ext>
      </extLst>
    </cfRule>
  </conditionalFormatting>
  <conditionalFormatting sqref="AA24:AA25">
    <cfRule type="dataBar" priority="3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{BDC8C494-4E3B-416E-BBB8-A4C5454E8832}</x14:id>
        </ext>
      </extLst>
    </cfRule>
    <cfRule type="dataBar" priority="3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{A4D6AD3B-636A-4CC7-85FE-2D0BA0E16661}</x14:id>
        </ext>
      </extLst>
    </cfRule>
  </conditionalFormatting>
  <conditionalFormatting sqref="AC9:AC10">
    <cfRule type="dataBar" priority="32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{115E9E0D-5652-F444-8A6F-8A4FA5E69959}</x14:id>
        </ext>
      </extLst>
    </cfRule>
    <cfRule type="dataBar" priority="32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{F5D8C4FC-6480-AA42-AF2D-B6BA55660CEB}</x14:id>
        </ext>
      </extLst>
    </cfRule>
  </conditionalFormatting>
  <conditionalFormatting sqref="AC12:AC13">
    <cfRule type="dataBar" priority="33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{BB3ED106-4B0A-42F7-871A-47292F85A49D}</x14:id>
        </ext>
      </extLst>
    </cfRule>
    <cfRule type="dataBar" priority="3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{B58DA7B2-EBC9-43A1-8631-EE56CF832B5C}</x14:id>
        </ext>
      </extLst>
    </cfRule>
  </conditionalFormatting>
  <conditionalFormatting sqref="AC15:AC16">
    <cfRule type="dataBar" priority="3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{0203CAA9-AD38-4AA0-94FD-F541B2F5E4DB}</x14:id>
        </ext>
      </extLst>
    </cfRule>
    <cfRule type="dataBar" priority="3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{842BA616-D9DA-463B-8AA6-462FD5AB306D}</x14:id>
        </ext>
      </extLst>
    </cfRule>
  </conditionalFormatting>
  <conditionalFormatting sqref="AC18:AC19">
    <cfRule type="dataBar" priority="2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{443683ED-1293-4994-8B97-78E0DB071FAC}</x14:id>
        </ext>
      </extLst>
    </cfRule>
    <cfRule type="dataBar" priority="2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{88915B95-83F0-440A-A802-5252A991AEA2}</x14:id>
        </ext>
      </extLst>
    </cfRule>
  </conditionalFormatting>
  <conditionalFormatting sqref="AC21:AC22">
    <cfRule type="dataBar" priority="2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{3A4B4E21-1291-4749-B3F5-BEE774824862}</x14:id>
        </ext>
      </extLst>
    </cfRule>
    <cfRule type="dataBar" priority="2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{1C147CC3-9573-4BD1-82DD-89036CAF7BEB}</x14:id>
        </ext>
      </extLst>
    </cfRule>
  </conditionalFormatting>
  <conditionalFormatting sqref="AC24:AC25">
    <cfRule type="dataBar" priority="2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{FD77E475-B05F-44A2-81F0-45B9098FDCC5}</x14:id>
        </ext>
      </extLst>
    </cfRule>
    <cfRule type="dataBar" priority="2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{DE8E818F-4140-411B-BBA5-51A0E9022F0F}</x14:id>
        </ext>
      </extLst>
    </cfRule>
  </conditionalFormatting>
  <conditionalFormatting sqref="AE9:AE10">
    <cfRule type="dataBar" priority="41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{830549AB-A344-4D30-85E2-CAA507113CAD}</x14:id>
        </ext>
      </extLst>
    </cfRule>
    <cfRule type="dataBar" priority="41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{1B1F86B3-8CA4-40B3-8BFA-3ACC9DF3718C}</x14:id>
        </ext>
      </extLst>
    </cfRule>
  </conditionalFormatting>
  <conditionalFormatting sqref="AE12:AE13">
    <cfRule type="dataBar" priority="9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{F69C796A-1B1C-4C69-8A3D-2CC216296120}</x14:id>
        </ext>
      </extLst>
    </cfRule>
    <cfRule type="dataBar" priority="10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{0C97970A-D082-4D1D-B09F-85827FE8968E}</x14:id>
        </ext>
      </extLst>
    </cfRule>
  </conditionalFormatting>
  <conditionalFormatting sqref="AE15:AE16">
    <cfRule type="dataBar" priority="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{E359217C-8FD5-450F-A329-27A197021BD6}</x14:id>
        </ext>
      </extLst>
    </cfRule>
    <cfRule type="dataBar" priority="8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{207D09FB-EAD1-4185-9537-A328104D27CC}</x14:id>
        </ext>
      </extLst>
    </cfRule>
  </conditionalFormatting>
  <conditionalFormatting sqref="AE18:AE19">
    <cfRule type="dataBar" priority="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{2AF013E8-0B4F-4877-B0D5-6663984210A1}</x14:id>
        </ext>
      </extLst>
    </cfRule>
    <cfRule type="dataBar" priority="6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{61CCD76D-CBB8-4382-92A2-08683B96BA0F}</x14:id>
        </ext>
      </extLst>
    </cfRule>
  </conditionalFormatting>
  <conditionalFormatting sqref="AE21:AE22">
    <cfRule type="dataBar" priority="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{83275826-99DE-431A-B6AC-4416973C602D}</x14:id>
        </ext>
      </extLst>
    </cfRule>
    <cfRule type="dataBar" priority="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{A4428784-AA85-4622-AD0A-F7E596A1542A}</x14:id>
        </ext>
      </extLst>
    </cfRule>
  </conditionalFormatting>
  <conditionalFormatting sqref="AE24:AE25">
    <cfRule type="dataBar" priority="1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{4B73A2F3-19F2-4134-86E1-5D487D21A71A}</x14:id>
        </ext>
      </extLst>
    </cfRule>
    <cfRule type="dataBar" priority="15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{3431D98E-37CE-4AD5-BF05-E5DA3AB20E0C}</x14:id>
        </ext>
      </extLst>
    </cfRule>
  </conditionalFormatting>
  <dataValidations count="1">
    <dataValidation showDropDown="1" showInputMessage="1" showErrorMessage="1" sqref="G24 G12 G15 G9 G18 G21" xr:uid="{7A067928-331A-4888-B5A8-60013BD07F0C}"/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scale="27" fitToHeight="0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74034A0-98F1-4C60-A76B-BFE43FC7785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E90A9CB-060E-554F-9761-3C911F373B7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7019813-CD5D-3F49-A799-A8312073238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B7CC5FC-B3F8-F248-BCDB-895F1E8F6B9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I12:I13</xm:sqref>
        </x14:conditionalFormatting>
        <x14:conditionalFormatting xmlns:xm="http://schemas.microsoft.com/office/excel/2006/main">
          <x14:cfRule type="dataBar" id="{8A2BBBE0-6141-4702-8478-25222D1C441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18CAEE7-5890-E14B-939B-DA0E2888793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584AE9D9-A72B-304B-8A59-5B2DE1F4749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FD7E935-2235-FC4D-B8A0-83794F4BBD0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I15:I16</xm:sqref>
        </x14:conditionalFormatting>
        <x14:conditionalFormatting xmlns:xm="http://schemas.microsoft.com/office/excel/2006/main">
          <x14:cfRule type="dataBar" id="{3C54B971-2FF7-464E-9050-139FB1FE113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3B9C0DD-6FD2-AC40-A20A-4B86BD49A40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C679D22-BD30-4744-AF4F-E51E82125AC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B0357D8-87A9-334C-B16B-2F4464C08F5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I18:I19</xm:sqref>
        </x14:conditionalFormatting>
        <x14:conditionalFormatting xmlns:xm="http://schemas.microsoft.com/office/excel/2006/main">
          <x14:cfRule type="dataBar" id="{A6CB934F-2F9B-4A9C-BF4B-01758EFA760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DE868D1-7673-3D46-A141-3698C6F9918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989B088-113C-BE4B-8BAE-4199C2B30F0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8E1D3C8F-FD20-EB4D-A563-222258035C4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I21:I22</xm:sqref>
        </x14:conditionalFormatting>
        <x14:conditionalFormatting xmlns:xm="http://schemas.microsoft.com/office/excel/2006/main">
          <x14:cfRule type="dataBar" id="{6006F88A-5962-40B1-8471-638837B6B10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7EC7ADA-AF7E-4AF3-B409-4443481C6C6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190B35E-85F9-45B9-96A5-C1D5D71D8D3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I24:I25</xm:sqref>
        </x14:conditionalFormatting>
        <x14:conditionalFormatting xmlns:xm="http://schemas.microsoft.com/office/excel/2006/main">
          <x14:cfRule type="dataBar" id="{5EC15DF9-54FB-4FED-A908-0D1A7E1FC0B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I9:J22</xm:sqref>
        </x14:conditionalFormatting>
        <x14:conditionalFormatting xmlns:xm="http://schemas.microsoft.com/office/excel/2006/main">
          <x14:cfRule type="dataBar" id="{A1D2A8DA-0DF5-44A4-8191-DD37E251674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I9:J23 K9:Q22</xm:sqref>
        </x14:conditionalFormatting>
        <x14:conditionalFormatting xmlns:xm="http://schemas.microsoft.com/office/excel/2006/main">
          <x14:cfRule type="dataBar" id="{1DABA211-F9E3-4E77-8709-DF86FAD7C9E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I9:Q10</xm:sqref>
        </x14:conditionalFormatting>
        <x14:conditionalFormatting xmlns:xm="http://schemas.microsoft.com/office/excel/2006/main">
          <x14:cfRule type="dataBar" id="{DDA11D83-AEE3-4A5C-BB65-F3C88DB7EAD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I11:Q11 I17:Q17 I14:Q14 I20:Q20</xm:sqref>
        </x14:conditionalFormatting>
        <x14:conditionalFormatting xmlns:xm="http://schemas.microsoft.com/office/excel/2006/main">
          <x14:cfRule type="dataBar" id="{AC710127-9475-4B83-967E-C179200509E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J24:J25 N24:N25 P24:P25 L24:L25</xm:sqref>
        </x14:conditionalFormatting>
        <x14:conditionalFormatting xmlns:xm="http://schemas.microsoft.com/office/excel/2006/main">
          <x14:cfRule type="dataBar" id="{F04CEDA9-4A77-4E63-B4F8-2DBA50F49FE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J24:J25</xm:sqref>
        </x14:conditionalFormatting>
        <x14:conditionalFormatting xmlns:xm="http://schemas.microsoft.com/office/excel/2006/main">
          <x14:cfRule type="dataBar" id="{8C0DF1C2-74F3-41EA-B8E5-FE52EFD39CF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K9:K10</xm:sqref>
        </x14:conditionalFormatting>
        <x14:conditionalFormatting xmlns:xm="http://schemas.microsoft.com/office/excel/2006/main">
          <x14:cfRule type="dataBar" id="{B9415FC5-E8CF-9141-AA8C-65C4DD5CD40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7FA99E3-AD5E-4BC8-A1EF-0028F630554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8D0F21CC-5375-3549-B039-EE0ABF2CEEC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2C92D2E-4EF2-421F-A8FB-E31788D686F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K12:K13</xm:sqref>
        </x14:conditionalFormatting>
        <x14:conditionalFormatting xmlns:xm="http://schemas.microsoft.com/office/excel/2006/main">
          <x14:cfRule type="dataBar" id="{7FA3B85E-E37C-4475-9191-2215E61ABFA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1074E6E-7CC8-4863-9171-31A69B8ADFA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8A32701C-FFB1-A548-9DAC-B9C4B035C62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6622D81-0630-7949-B11D-0F9F203F292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K15:K16</xm:sqref>
        </x14:conditionalFormatting>
        <x14:conditionalFormatting xmlns:xm="http://schemas.microsoft.com/office/excel/2006/main">
          <x14:cfRule type="dataBar" id="{3122B0A2-F4BA-594F-AECD-2952840456C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73F5507-7EC7-4149-9F36-4D4F8A6D193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FD09CBB-1099-3F41-BF3D-4A32F753B0A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26B1BB7-0B0D-488C-8FE6-99F078CF08C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K18:K19</xm:sqref>
        </x14:conditionalFormatting>
        <x14:conditionalFormatting xmlns:xm="http://schemas.microsoft.com/office/excel/2006/main">
          <x14:cfRule type="dataBar" id="{4B777590-5675-284C-8E2F-8545FBA1ED0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2811D18-A5B0-0F49-9B78-6E2A4223B84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03FDD59-0C26-46EA-A6ED-733DB4DBB60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97CEC29-2A9E-4892-AB46-0D80D2A69D8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K21:K22</xm:sqref>
        </x14:conditionalFormatting>
        <x14:conditionalFormatting xmlns:xm="http://schemas.microsoft.com/office/excel/2006/main">
          <x14:cfRule type="dataBar" id="{7E55CAF5-00C1-453B-8E24-76D041C2545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40A8DB5-EA0D-4711-A824-3A0E7173DAA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542BE0BE-107E-4E21-A953-4DAD526100D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AAC7EE8-4E2F-4CF8-A73C-8BD6A416B05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K24:K25</xm:sqref>
        </x14:conditionalFormatting>
        <x14:conditionalFormatting xmlns:xm="http://schemas.microsoft.com/office/excel/2006/main">
          <x14:cfRule type="dataBar" id="{24701D79-D03A-46AC-B88B-0DB1B44C505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K9:L22</xm:sqref>
        </x14:conditionalFormatting>
        <x14:conditionalFormatting xmlns:xm="http://schemas.microsoft.com/office/excel/2006/main">
          <x14:cfRule type="dataBar" id="{4311D564-A242-498D-BDA4-5980992168E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L24:L25</xm:sqref>
        </x14:conditionalFormatting>
        <x14:conditionalFormatting xmlns:xm="http://schemas.microsoft.com/office/excel/2006/main">
          <x14:cfRule type="dataBar" id="{DA43B6FA-D6F2-DB41-8895-DED8C147877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79C3DE8-7B1B-48F5-88E8-F944E127363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A85C58F-74CD-4640-A7F7-0F2FD949582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M12:M13</xm:sqref>
        </x14:conditionalFormatting>
        <x14:conditionalFormatting xmlns:xm="http://schemas.microsoft.com/office/excel/2006/main">
          <x14:cfRule type="dataBar" id="{3CD9E076-BF99-C846-B18D-F76F01E590D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50CB2F7-2434-4A0A-9D20-262D53AF43A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M15:M16</xm:sqref>
        </x14:conditionalFormatting>
        <x14:conditionalFormatting xmlns:xm="http://schemas.microsoft.com/office/excel/2006/main">
          <x14:cfRule type="dataBar" id="{EE8E28D2-9624-524C-BF6D-48BA92F9E70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687BDB7-1DB1-417F-961F-3ACBAD406C4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M18:M19</xm:sqref>
        </x14:conditionalFormatting>
        <x14:conditionalFormatting xmlns:xm="http://schemas.microsoft.com/office/excel/2006/main">
          <x14:cfRule type="dataBar" id="{3142DC77-CC96-5D48-8308-38F2984AE11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E2CB185-5B0D-4452-B82A-EBD5C2DAFC5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M21:M22</xm:sqref>
        </x14:conditionalFormatting>
        <x14:conditionalFormatting xmlns:xm="http://schemas.microsoft.com/office/excel/2006/main">
          <x14:cfRule type="dataBar" id="{7A1A9E0C-F3DC-495C-925F-CB24BA6249C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M24:M25 M21:M22 M18:M19 M15:M16</xm:sqref>
        </x14:conditionalFormatting>
        <x14:conditionalFormatting xmlns:xm="http://schemas.microsoft.com/office/excel/2006/main">
          <x14:cfRule type="dataBar" id="{2CC82D6F-F55A-4B66-9329-17E0F9CB04F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M24:M25</xm:sqref>
        </x14:conditionalFormatting>
        <x14:conditionalFormatting xmlns:xm="http://schemas.microsoft.com/office/excel/2006/main">
          <x14:cfRule type="dataBar" id="{11CA0A48-6379-4636-99A3-75602E07EDA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AE6E569-8967-495D-A672-F7205EEB987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3A9EEC7-6D19-3D41-BB5E-B98600B62F5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O12:O13</xm:sqref>
        </x14:conditionalFormatting>
        <x14:conditionalFormatting xmlns:xm="http://schemas.microsoft.com/office/excel/2006/main">
          <x14:cfRule type="dataBar" id="{B0D1CC1A-393D-B54B-916D-7C393A2C83C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5BAAD88-A9AC-4BD7-B69C-85359F1141F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5D6B1D2-9EEA-4FC4-9421-3FF203BAD23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655729A-B73F-44D0-9A7D-8083F225C31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F8130B4-17E5-4E35-9F03-B86E7F9692F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O15:O16</xm:sqref>
        </x14:conditionalFormatting>
        <x14:conditionalFormatting xmlns:xm="http://schemas.microsoft.com/office/excel/2006/main">
          <x14:cfRule type="dataBar" id="{74129B22-9B86-2741-B857-4FF5ED5AD24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FEF2C44-7EF1-43E5-8EED-451C173D506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4A19F92-FCEE-4C87-97A7-AFFE631D4A9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2ED09D3-C236-4D27-A483-357EAA1BD41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7EACF3C-F8B5-46EB-BA60-894E0E7696E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O18:O19</xm:sqref>
        </x14:conditionalFormatting>
        <x14:conditionalFormatting xmlns:xm="http://schemas.microsoft.com/office/excel/2006/main">
          <x14:cfRule type="dataBar" id="{11D454EE-CE19-4A9B-ADD7-946E782E717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5E8627D-B22E-45C5-AA2B-49875CD2917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2B38128-EAB2-498E-B736-9DACC3DC31D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D4D1ED3-481C-40C7-82C3-600028A5D3F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5EA4659-182C-EB4D-99BA-412D1A2E8E5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O21:O22</xm:sqref>
        </x14:conditionalFormatting>
        <x14:conditionalFormatting xmlns:xm="http://schemas.microsoft.com/office/excel/2006/main">
          <x14:cfRule type="dataBar" id="{8A891DFC-A83A-4F2D-A45C-C8EB9397D6C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58FDC5F-488E-4D2C-98AD-31970984249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7AFCEBD-5508-4501-8D24-D6C8D995268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2221282-2DED-4847-B558-251424DCE71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O24:O25</xm:sqref>
        </x14:conditionalFormatting>
        <x14:conditionalFormatting xmlns:xm="http://schemas.microsoft.com/office/excel/2006/main">
          <x14:cfRule type="dataBar" id="{8EFE16FF-2663-E24D-A65B-E855635FB35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3883B17-3C3C-47AB-8365-1826C7529CF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Q12:Q13</xm:sqref>
        </x14:conditionalFormatting>
        <x14:conditionalFormatting xmlns:xm="http://schemas.microsoft.com/office/excel/2006/main">
          <x14:cfRule type="dataBar" id="{C2058D30-762F-A741-B189-5A6780C5B75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2A762AF-828D-47BE-B45E-805FA5FAF99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Q15:Q16</xm:sqref>
        </x14:conditionalFormatting>
        <x14:conditionalFormatting xmlns:xm="http://schemas.microsoft.com/office/excel/2006/main">
          <x14:cfRule type="dataBar" id="{90E5F056-EDB4-7546-A6AC-AB17CE4291B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42EF126-F2AD-4056-AF85-B1EF728BB36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Q18:Q19</xm:sqref>
        </x14:conditionalFormatting>
        <x14:conditionalFormatting xmlns:xm="http://schemas.microsoft.com/office/excel/2006/main">
          <x14:cfRule type="dataBar" id="{62715952-6D81-3A4B-B1A6-F29AB697300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9497CA57-3582-4EF7-A93E-C3F6ADB8332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Q21:Q22</xm:sqref>
        </x14:conditionalFormatting>
        <x14:conditionalFormatting xmlns:xm="http://schemas.microsoft.com/office/excel/2006/main">
          <x14:cfRule type="dataBar" id="{FCB85C2E-1B82-4175-B897-B015B0B90D1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6DF445A-3D67-4D31-94C9-03147035994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Q24:Q25</xm:sqref>
        </x14:conditionalFormatting>
        <x14:conditionalFormatting xmlns:xm="http://schemas.microsoft.com/office/excel/2006/main">
          <x14:cfRule type="dataBar" id="{340D090A-487C-4855-A518-99C59B589FD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FA7B89D-CB39-4F6E-97D4-52CE5945AE4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S9:S10</xm:sqref>
        </x14:conditionalFormatting>
        <x14:conditionalFormatting xmlns:xm="http://schemas.microsoft.com/office/excel/2006/main">
          <x14:cfRule type="dataBar" id="{C8B29CB6-7266-4694-92A4-E6C763577A2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49C36FB-9E10-4DDA-8C64-6AE16E7A826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S12:S13</xm:sqref>
        </x14:conditionalFormatting>
        <x14:conditionalFormatting xmlns:xm="http://schemas.microsoft.com/office/excel/2006/main">
          <x14:cfRule type="dataBar" id="{7C51D9B6-917E-4315-9573-39B10990F86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9874170F-A546-4BDB-8D09-9D225AD351B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S15:S16</xm:sqref>
        </x14:conditionalFormatting>
        <x14:conditionalFormatting xmlns:xm="http://schemas.microsoft.com/office/excel/2006/main">
          <x14:cfRule type="dataBar" id="{F4B0CBCC-0527-4BC2-A2E1-47DF4CB736B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56E8767-5ED0-43F6-AAD6-362E5276E7C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S18:S19</xm:sqref>
        </x14:conditionalFormatting>
        <x14:conditionalFormatting xmlns:xm="http://schemas.microsoft.com/office/excel/2006/main">
          <x14:cfRule type="dataBar" id="{7DD1FACE-BE5C-4EF4-BC94-73599ABE136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C89FD3F-D803-420B-B106-6BB087C7E13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S21:S22</xm:sqref>
        </x14:conditionalFormatting>
        <x14:conditionalFormatting xmlns:xm="http://schemas.microsoft.com/office/excel/2006/main">
          <x14:cfRule type="dataBar" id="{C513A8C2-3D0E-4944-9BBB-5A3300F43E5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276049F-4324-494C-9748-0D774490FE9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S24:S25</xm:sqref>
        </x14:conditionalFormatting>
        <x14:conditionalFormatting xmlns:xm="http://schemas.microsoft.com/office/excel/2006/main">
          <x14:cfRule type="dataBar" id="{88BDE869-EAE9-7349-9005-0854C560209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0506573-2100-C543-91E2-0F7EF3C1D1B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U9:U10</xm:sqref>
        </x14:conditionalFormatting>
        <x14:conditionalFormatting xmlns:xm="http://schemas.microsoft.com/office/excel/2006/main">
          <x14:cfRule type="dataBar" id="{BD39E1F4-DE30-1F42-97C3-E9F9A20463C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1BD4919-3625-674D-80B9-FD08322C3D3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U12:U13</xm:sqref>
        </x14:conditionalFormatting>
        <x14:conditionalFormatting xmlns:xm="http://schemas.microsoft.com/office/excel/2006/main">
          <x14:cfRule type="dataBar" id="{7AA18948-8B13-054D-9805-4E98E3D6FF4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C1654E3-07A5-CB4C-BD87-62D5B71ABD5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U15:U16</xm:sqref>
        </x14:conditionalFormatting>
        <x14:conditionalFormatting xmlns:xm="http://schemas.microsoft.com/office/excel/2006/main">
          <x14:cfRule type="dataBar" id="{92F08F7C-C9D9-1D4E-9920-77B986583DF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8EE73E3-2FAF-6D4C-A5CA-8EFD0C19975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U18:U19</xm:sqref>
        </x14:conditionalFormatting>
        <x14:conditionalFormatting xmlns:xm="http://schemas.microsoft.com/office/excel/2006/main">
          <x14:cfRule type="dataBar" id="{C48AAD72-6CB3-1A4B-A637-4EA55C215FC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0CB0374-E02D-864C-93EA-D1636A24868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U21:U22</xm:sqref>
        </x14:conditionalFormatting>
        <x14:conditionalFormatting xmlns:xm="http://schemas.microsoft.com/office/excel/2006/main">
          <x14:cfRule type="dataBar" id="{C0AE7E93-2B02-457D-8462-917E0B28FE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0D8EA7E-33AC-4F3E-94B5-DB17A18C16D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U24:U25</xm:sqref>
        </x14:conditionalFormatting>
        <x14:conditionalFormatting xmlns:xm="http://schemas.microsoft.com/office/excel/2006/main">
          <x14:cfRule type="dataBar" id="{E7ED55FE-D87F-4A92-9171-BBC9832CEA5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U11:AD11 U17:AD17 U14:AD14 U20:AD20</xm:sqref>
        </x14:conditionalFormatting>
        <x14:conditionalFormatting xmlns:xm="http://schemas.microsoft.com/office/excel/2006/main">
          <x14:cfRule type="dataBar" id="{CCD3F35F-F72A-4D27-B230-E069CCAD3A8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V9:V10 X9:X10 Z9:Z10 AB9:AB10 AD9:AD10 U11:AD11 U14:AD14 V12:V13 X12:X13 Z12:Z13 AB12:AB13 AD12:AD13 U17:AD17 V15:V16 X15:X16 Z15:Z16 AB15:AB16 AD15:AD16 U20:AD20 V18:V19 X18:X19 Z18:Z19 AB18:AB19 AD18:AD19 V21:V22 X21:X22 Z21:Z22 AB21:AB22 AD21:AD22</xm:sqref>
        </x14:conditionalFormatting>
        <x14:conditionalFormatting xmlns:xm="http://schemas.microsoft.com/office/excel/2006/main">
          <x14:cfRule type="dataBar" id="{4C0979C0-0D32-4630-B81B-C070B94018A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V9:V10 X9:X10 Z9:Z10 AB9:AB10 AD9:AD10</xm:sqref>
        </x14:conditionalFormatting>
        <x14:conditionalFormatting xmlns:xm="http://schemas.microsoft.com/office/excel/2006/main">
          <x14:cfRule type="dataBar" id="{CCC3BE0B-ABBF-449E-B382-A57A0AABB79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V24:V25 X24:X25 Z24:Z25 AB24:AB25 AD24:AD25</xm:sqref>
        </x14:conditionalFormatting>
        <x14:conditionalFormatting xmlns:xm="http://schemas.microsoft.com/office/excel/2006/main">
          <x14:cfRule type="dataBar" id="{2177A678-5E3B-2348-9525-00976D755B5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4E2B4E4-9304-5843-B7DA-8AC039C09B5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W9:W10</xm:sqref>
        </x14:conditionalFormatting>
        <x14:conditionalFormatting xmlns:xm="http://schemas.microsoft.com/office/excel/2006/main">
          <x14:cfRule type="dataBar" id="{F2E35B4B-1D77-4FA0-A214-5A3D445A1F1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EA47B17-7B93-4DF2-8B43-F5F8343F6D6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W12:W13</xm:sqref>
        </x14:conditionalFormatting>
        <x14:conditionalFormatting xmlns:xm="http://schemas.microsoft.com/office/excel/2006/main">
          <x14:cfRule type="dataBar" id="{696C4BF0-1C0A-47C3-9010-F861E6BC58E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DD975CB-AEEF-4992-8C29-FF9EEEBB30A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W15:W16</xm:sqref>
        </x14:conditionalFormatting>
        <x14:conditionalFormatting xmlns:xm="http://schemas.microsoft.com/office/excel/2006/main">
          <x14:cfRule type="dataBar" id="{A7E3DD9B-4B42-4F50-8A4C-C5EF6793C58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B8CE0C4-8608-4A20-B513-356B78286BF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W18:W19</xm:sqref>
        </x14:conditionalFormatting>
        <x14:conditionalFormatting xmlns:xm="http://schemas.microsoft.com/office/excel/2006/main">
          <x14:cfRule type="dataBar" id="{CC91606A-F400-47A4-AC84-240AC72D9E7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C800AC5-FECA-4004-9A6A-698F5DB8C2D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W21:W22</xm:sqref>
        </x14:conditionalFormatting>
        <x14:conditionalFormatting xmlns:xm="http://schemas.microsoft.com/office/excel/2006/main">
          <x14:cfRule type="dataBar" id="{4C33E4C2-61FE-4DCB-BDC5-C6D54890CE0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3D22783-1C3B-4635-8334-7C203A99A2A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W24:W25</xm:sqref>
        </x14:conditionalFormatting>
        <x14:conditionalFormatting xmlns:xm="http://schemas.microsoft.com/office/excel/2006/main">
          <x14:cfRule type="dataBar" id="{36E7D69C-8B02-104C-868E-0A0F8DE894D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8F90D793-8142-6640-B1FC-BF19F01B7C4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Y9:Y10</xm:sqref>
        </x14:conditionalFormatting>
        <x14:conditionalFormatting xmlns:xm="http://schemas.microsoft.com/office/excel/2006/main">
          <x14:cfRule type="dataBar" id="{7837CB5D-2CDC-4693-B93C-00309F66F17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DA7C577-961F-49A1-9A0A-CD00CD28E1C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Y12:Y13</xm:sqref>
        </x14:conditionalFormatting>
        <x14:conditionalFormatting xmlns:xm="http://schemas.microsoft.com/office/excel/2006/main">
          <x14:cfRule type="dataBar" id="{A83C1894-3A2C-4104-9087-9FDF43B78CE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35006AD-99FB-4450-9EC6-5DEBF716924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Y15:Y16</xm:sqref>
        </x14:conditionalFormatting>
        <x14:conditionalFormatting xmlns:xm="http://schemas.microsoft.com/office/excel/2006/main">
          <x14:cfRule type="dataBar" id="{7922F0CA-0BF2-420D-AA33-D7A62F25DD0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9C919E30-5F5F-4D90-9084-A59F57A1F7A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Y18:Y19</xm:sqref>
        </x14:conditionalFormatting>
        <x14:conditionalFormatting xmlns:xm="http://schemas.microsoft.com/office/excel/2006/main">
          <x14:cfRule type="dataBar" id="{1CA049F5-BD00-4D92-BF43-B1317F52C5D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7D2BB60A-F52F-4A01-9737-FE9AFF8467E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Y21:Y22</xm:sqref>
        </x14:conditionalFormatting>
        <x14:conditionalFormatting xmlns:xm="http://schemas.microsoft.com/office/excel/2006/main">
          <x14:cfRule type="dataBar" id="{FCA6EDBF-1576-4DA8-B9E8-2ADB9FF830B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443F8FF6-EBA1-47BD-B2F8-856B90657C7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Y24:Y25</xm:sqref>
        </x14:conditionalFormatting>
        <x14:conditionalFormatting xmlns:xm="http://schemas.microsoft.com/office/excel/2006/main">
          <x14:cfRule type="dataBar" id="{2EFF0C78-A958-9846-9D40-D186A868DC3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C937800-99DA-9941-A99B-5CD144BAB32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AA9:AA10</xm:sqref>
        </x14:conditionalFormatting>
        <x14:conditionalFormatting xmlns:xm="http://schemas.microsoft.com/office/excel/2006/main">
          <x14:cfRule type="dataBar" id="{D9967B77-53E2-41CC-A12B-65984C1EBD6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8E529BE5-9AD1-4864-A518-2706E4DD103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AA12:AA13</xm:sqref>
        </x14:conditionalFormatting>
        <x14:conditionalFormatting xmlns:xm="http://schemas.microsoft.com/office/excel/2006/main">
          <x14:cfRule type="dataBar" id="{83025083-8259-4238-B5C3-83F87A49A8F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6F31984-5641-45D4-8166-F7EB5DFA8D1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AA15:AA16</xm:sqref>
        </x14:conditionalFormatting>
        <x14:conditionalFormatting xmlns:xm="http://schemas.microsoft.com/office/excel/2006/main">
          <x14:cfRule type="dataBar" id="{55247C21-F7D9-4D85-93F6-14CDFE08685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222E1C0-9B19-4446-B447-C144DF5304C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AA18:AA19</xm:sqref>
        </x14:conditionalFormatting>
        <x14:conditionalFormatting xmlns:xm="http://schemas.microsoft.com/office/excel/2006/main">
          <x14:cfRule type="dataBar" id="{5B5BFAA7-8443-4919-977E-AE01B7E3070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14AB812-BA43-47D9-B380-C493C7FD04E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AA21:AA22</xm:sqref>
        </x14:conditionalFormatting>
        <x14:conditionalFormatting xmlns:xm="http://schemas.microsoft.com/office/excel/2006/main">
          <x14:cfRule type="dataBar" id="{BDC8C494-4E3B-416E-BBB8-A4C5454E883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4D6AD3B-636A-4CC7-85FE-2D0BA0E1666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AA24:AA25</xm:sqref>
        </x14:conditionalFormatting>
        <x14:conditionalFormatting xmlns:xm="http://schemas.microsoft.com/office/excel/2006/main">
          <x14:cfRule type="dataBar" id="{115E9E0D-5652-F444-8A6F-8A4FA5E6995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5D8C4FC-6480-AA42-AF2D-B6BA55660CE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AC9:AC10</xm:sqref>
        </x14:conditionalFormatting>
        <x14:conditionalFormatting xmlns:xm="http://schemas.microsoft.com/office/excel/2006/main">
          <x14:cfRule type="dataBar" id="{BB3ED106-4B0A-42F7-871A-47292F85A4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58DA7B2-EBC9-43A1-8631-EE56CF832B5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AC12:AC13</xm:sqref>
        </x14:conditionalFormatting>
        <x14:conditionalFormatting xmlns:xm="http://schemas.microsoft.com/office/excel/2006/main">
          <x14:cfRule type="dataBar" id="{0203CAA9-AD38-4AA0-94FD-F541B2F5E4D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842BA616-D9DA-463B-8AA6-462FD5AB306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AC15:AC16</xm:sqref>
        </x14:conditionalFormatting>
        <x14:conditionalFormatting xmlns:xm="http://schemas.microsoft.com/office/excel/2006/main">
          <x14:cfRule type="dataBar" id="{443683ED-1293-4994-8B97-78E0DB071FA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88915B95-83F0-440A-A802-5252A991AEA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AC18:AC19</xm:sqref>
        </x14:conditionalFormatting>
        <x14:conditionalFormatting xmlns:xm="http://schemas.microsoft.com/office/excel/2006/main">
          <x14:cfRule type="dataBar" id="{3A4B4E21-1291-4749-B3F5-BEE77482486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C147CC3-9573-4BD1-82DD-89036CAF7BE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AC21:AC22</xm:sqref>
        </x14:conditionalFormatting>
        <x14:conditionalFormatting xmlns:xm="http://schemas.microsoft.com/office/excel/2006/main">
          <x14:cfRule type="dataBar" id="{FD77E475-B05F-44A2-81F0-45B9098FDCC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E8E818F-4140-411B-BBA5-51A0E9022F0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AC24:AC25</xm:sqref>
        </x14:conditionalFormatting>
        <x14:conditionalFormatting xmlns:xm="http://schemas.microsoft.com/office/excel/2006/main">
          <x14:cfRule type="dataBar" id="{830549AB-A344-4D30-85E2-CAA507113CA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B1F86B3-8CA4-40B3-8BFA-3ACC9DF3718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AE9:AE10</xm:sqref>
        </x14:conditionalFormatting>
        <x14:conditionalFormatting xmlns:xm="http://schemas.microsoft.com/office/excel/2006/main">
          <x14:cfRule type="dataBar" id="{F69C796A-1B1C-4C69-8A3D-2CC21629612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C97970A-D082-4D1D-B09F-85827FE8968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AE12:AE13</xm:sqref>
        </x14:conditionalFormatting>
        <x14:conditionalFormatting xmlns:xm="http://schemas.microsoft.com/office/excel/2006/main">
          <x14:cfRule type="dataBar" id="{E359217C-8FD5-450F-A329-27A197021BD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07D09FB-EAD1-4185-9537-A328104D27C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AE15:AE16</xm:sqref>
        </x14:conditionalFormatting>
        <x14:conditionalFormatting xmlns:xm="http://schemas.microsoft.com/office/excel/2006/main">
          <x14:cfRule type="dataBar" id="{2AF013E8-0B4F-4877-B0D5-6663984210A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1CCD76D-CBB8-4382-92A2-08683B96BA0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AE18:AE19</xm:sqref>
        </x14:conditionalFormatting>
        <x14:conditionalFormatting xmlns:xm="http://schemas.microsoft.com/office/excel/2006/main">
          <x14:cfRule type="dataBar" id="{83275826-99DE-431A-B6AC-4416973C602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4428784-AA85-4622-AD0A-F7E596A1542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AE21:AE22</xm:sqref>
        </x14:conditionalFormatting>
        <x14:conditionalFormatting xmlns:xm="http://schemas.microsoft.com/office/excel/2006/main">
          <x14:cfRule type="dataBar" id="{4B73A2F3-19F2-4134-86E1-5D487D21A71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431D98E-37CE-4AD5-BF05-E5DA3AB20E0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AE24:AE25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AM38"/>
  <sheetViews>
    <sheetView showGridLines="0" topLeftCell="D1" zoomScale="85" zoomScaleNormal="85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1</v>
      </c>
      <c r="F2" s="129" t="s">
        <v>25</v>
      </c>
      <c r="G2" s="129"/>
      <c r="H2" s="22">
        <v>160151</v>
      </c>
      <c r="I2" s="21"/>
      <c r="J2" s="21"/>
      <c r="K2" s="12"/>
      <c r="L2" s="12"/>
      <c r="M2" s="12"/>
      <c r="N2" s="12"/>
      <c r="O2" s="12"/>
      <c r="P2" s="12"/>
      <c r="Q2" s="12"/>
      <c r="U2" s="12"/>
      <c r="W2" s="145" t="str">
        <f>'PANEL DE CONTROL DISTRITAL'!AC2</f>
        <v>Fecha de corte 31/12/2023</v>
      </c>
      <c r="X2" s="145"/>
      <c r="Y2" s="145"/>
      <c r="Z2" s="145"/>
      <c r="AA2" s="145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">
        <v>71</v>
      </c>
      <c r="J9" s="32" t="s">
        <v>72</v>
      </c>
      <c r="K9" s="32" t="s">
        <v>73</v>
      </c>
      <c r="L9" s="32" t="s">
        <v>74</v>
      </c>
      <c r="M9" s="32" t="s">
        <v>75</v>
      </c>
      <c r="N9" s="32" t="s">
        <v>76</v>
      </c>
      <c r="O9" s="32" t="s">
        <v>77</v>
      </c>
      <c r="P9" s="32" t="s">
        <v>78</v>
      </c>
      <c r="Q9" s="32" t="s">
        <v>79</v>
      </c>
      <c r="R9" s="32" t="s">
        <v>80</v>
      </c>
      <c r="S9" s="32" t="s">
        <v>81</v>
      </c>
      <c r="T9" s="32" t="s">
        <v>82</v>
      </c>
      <c r="U9" s="32" t="s">
        <v>83</v>
      </c>
      <c r="V9" s="32" t="s">
        <v>84</v>
      </c>
      <c r="W9" s="32" t="s">
        <v>85</v>
      </c>
      <c r="X9" s="32" t="s">
        <v>86</v>
      </c>
      <c r="Y9" s="32" t="s">
        <v>87</v>
      </c>
      <c r="Z9" s="32" t="s">
        <v>88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85</v>
      </c>
      <c r="J10" s="24">
        <v>427</v>
      </c>
      <c r="K10" s="24">
        <v>421</v>
      </c>
      <c r="L10" s="24">
        <v>482</v>
      </c>
      <c r="M10" s="24">
        <v>443</v>
      </c>
      <c r="N10" s="24">
        <v>413</v>
      </c>
      <c r="O10" s="24">
        <v>361</v>
      </c>
      <c r="P10" s="24">
        <v>476</v>
      </c>
      <c r="Q10" s="24">
        <v>469</v>
      </c>
      <c r="R10" s="24">
        <v>340</v>
      </c>
      <c r="S10" s="24">
        <v>505</v>
      </c>
      <c r="T10" s="24">
        <v>503</v>
      </c>
      <c r="U10" s="24">
        <v>421</v>
      </c>
      <c r="V10" s="24">
        <v>591</v>
      </c>
      <c r="W10" s="24">
        <v>591</v>
      </c>
      <c r="X10" s="24">
        <v>544</v>
      </c>
      <c r="Y10" s="24">
        <v>568</v>
      </c>
      <c r="Z10" s="24">
        <v>422</v>
      </c>
      <c r="AA10" s="119">
        <f>IFERROR(SUM(I10:Z10)/SUM(I11:Z11),0)</f>
        <v>0.99863743342004208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85</v>
      </c>
      <c r="J11" s="44">
        <v>427</v>
      </c>
      <c r="K11" s="44">
        <v>421</v>
      </c>
      <c r="L11" s="44">
        <v>482</v>
      </c>
      <c r="M11" s="44">
        <v>443</v>
      </c>
      <c r="N11" s="44">
        <v>413</v>
      </c>
      <c r="O11" s="44">
        <v>362</v>
      </c>
      <c r="P11" s="44">
        <v>476</v>
      </c>
      <c r="Q11" s="44">
        <v>470</v>
      </c>
      <c r="R11" s="44">
        <v>340</v>
      </c>
      <c r="S11" s="44">
        <v>505</v>
      </c>
      <c r="T11" s="44">
        <v>503</v>
      </c>
      <c r="U11" s="44">
        <v>421</v>
      </c>
      <c r="V11" s="44">
        <v>595</v>
      </c>
      <c r="W11" s="44">
        <v>593</v>
      </c>
      <c r="X11" s="44">
        <v>544</v>
      </c>
      <c r="Y11" s="44">
        <v>571</v>
      </c>
      <c r="Z11" s="44">
        <v>422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85</v>
      </c>
      <c r="J13" s="24">
        <v>424</v>
      </c>
      <c r="K13" s="24">
        <v>420</v>
      </c>
      <c r="L13" s="24">
        <v>480</v>
      </c>
      <c r="M13" s="24">
        <v>438</v>
      </c>
      <c r="N13" s="24">
        <v>413</v>
      </c>
      <c r="O13" s="24">
        <v>356</v>
      </c>
      <c r="P13" s="24">
        <v>474</v>
      </c>
      <c r="Q13" s="24">
        <v>467</v>
      </c>
      <c r="R13" s="24">
        <v>339</v>
      </c>
      <c r="S13" s="24">
        <v>503</v>
      </c>
      <c r="T13" s="24">
        <v>501</v>
      </c>
      <c r="U13" s="24">
        <v>416</v>
      </c>
      <c r="V13" s="24">
        <v>589</v>
      </c>
      <c r="W13" s="24">
        <v>587</v>
      </c>
      <c r="X13" s="24">
        <v>539</v>
      </c>
      <c r="Y13" s="24">
        <v>565</v>
      </c>
      <c r="Z13" s="24">
        <v>414</v>
      </c>
      <c r="AA13" s="119">
        <f>IFERROR(SUM(I13:Z13)/SUM(I14:Z14),0)</f>
        <v>0.99354998759613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85</v>
      </c>
      <c r="J14" s="44">
        <v>427</v>
      </c>
      <c r="K14" s="44">
        <v>421</v>
      </c>
      <c r="L14" s="44">
        <v>482</v>
      </c>
      <c r="M14" s="44">
        <v>443</v>
      </c>
      <c r="N14" s="44">
        <v>413</v>
      </c>
      <c r="O14" s="44">
        <v>361</v>
      </c>
      <c r="P14" s="44">
        <v>476</v>
      </c>
      <c r="Q14" s="44">
        <v>469</v>
      </c>
      <c r="R14" s="44">
        <v>340</v>
      </c>
      <c r="S14" s="44">
        <v>505</v>
      </c>
      <c r="T14" s="44">
        <v>503</v>
      </c>
      <c r="U14" s="44">
        <v>421</v>
      </c>
      <c r="V14" s="44">
        <v>591</v>
      </c>
      <c r="W14" s="44">
        <v>591</v>
      </c>
      <c r="X14" s="44">
        <v>544</v>
      </c>
      <c r="Y14" s="44">
        <v>568</v>
      </c>
      <c r="Z14" s="44">
        <v>422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85</v>
      </c>
      <c r="J16" s="24">
        <v>427</v>
      </c>
      <c r="K16" s="24">
        <v>421</v>
      </c>
      <c r="L16" s="24">
        <v>482</v>
      </c>
      <c r="M16" s="24">
        <v>443</v>
      </c>
      <c r="N16" s="24">
        <v>413</v>
      </c>
      <c r="O16" s="24">
        <v>361</v>
      </c>
      <c r="P16" s="24">
        <v>476</v>
      </c>
      <c r="Q16" s="24">
        <v>469</v>
      </c>
      <c r="R16" s="24">
        <v>340</v>
      </c>
      <c r="S16" s="24">
        <v>505</v>
      </c>
      <c r="T16" s="24">
        <v>503</v>
      </c>
      <c r="U16" s="24">
        <v>421</v>
      </c>
      <c r="V16" s="24">
        <v>591</v>
      </c>
      <c r="W16" s="24">
        <v>591</v>
      </c>
      <c r="X16" s="24">
        <v>544</v>
      </c>
      <c r="Y16" s="24">
        <v>568</v>
      </c>
      <c r="Z16" s="24">
        <v>422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85</v>
      </c>
      <c r="J17" s="44">
        <v>427</v>
      </c>
      <c r="K17" s="44">
        <v>421</v>
      </c>
      <c r="L17" s="44">
        <v>482</v>
      </c>
      <c r="M17" s="44">
        <v>443</v>
      </c>
      <c r="N17" s="44">
        <v>413</v>
      </c>
      <c r="O17" s="44">
        <v>361</v>
      </c>
      <c r="P17" s="44">
        <v>476</v>
      </c>
      <c r="Q17" s="44">
        <v>469</v>
      </c>
      <c r="R17" s="44">
        <v>340</v>
      </c>
      <c r="S17" s="44">
        <v>505</v>
      </c>
      <c r="T17" s="44">
        <v>503</v>
      </c>
      <c r="U17" s="44">
        <v>421</v>
      </c>
      <c r="V17" s="44">
        <v>591</v>
      </c>
      <c r="W17" s="44">
        <v>591</v>
      </c>
      <c r="X17" s="44">
        <v>544</v>
      </c>
      <c r="Y17" s="44">
        <v>568</v>
      </c>
      <c r="Z17" s="44">
        <v>422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94</v>
      </c>
      <c r="J19" s="24">
        <v>471</v>
      </c>
      <c r="K19" s="24">
        <v>260</v>
      </c>
      <c r="L19" s="24">
        <v>614</v>
      </c>
      <c r="M19" s="24">
        <v>454</v>
      </c>
      <c r="N19" s="24">
        <v>440</v>
      </c>
      <c r="O19" s="24">
        <v>440</v>
      </c>
      <c r="P19" s="24">
        <v>443</v>
      </c>
      <c r="Q19" s="24">
        <v>475</v>
      </c>
      <c r="R19" s="24">
        <v>370</v>
      </c>
      <c r="S19" s="24">
        <v>461</v>
      </c>
      <c r="T19" s="24">
        <v>494</v>
      </c>
      <c r="U19" s="24">
        <v>383</v>
      </c>
      <c r="V19" s="24">
        <v>471</v>
      </c>
      <c r="W19" s="24">
        <v>737</v>
      </c>
      <c r="X19" s="24">
        <v>526</v>
      </c>
      <c r="Y19" s="24">
        <v>350</v>
      </c>
      <c r="Z19" s="24">
        <v>268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94</v>
      </c>
      <c r="J20" s="44">
        <v>471</v>
      </c>
      <c r="K20" s="44">
        <v>260</v>
      </c>
      <c r="L20" s="44">
        <v>614</v>
      </c>
      <c r="M20" s="44">
        <v>454</v>
      </c>
      <c r="N20" s="44">
        <v>440</v>
      </c>
      <c r="O20" s="44">
        <v>440</v>
      </c>
      <c r="P20" s="44">
        <v>443</v>
      </c>
      <c r="Q20" s="44">
        <v>475</v>
      </c>
      <c r="R20" s="44">
        <v>370</v>
      </c>
      <c r="S20" s="44">
        <v>461</v>
      </c>
      <c r="T20" s="44">
        <v>494</v>
      </c>
      <c r="U20" s="44">
        <v>383</v>
      </c>
      <c r="V20" s="44">
        <v>471</v>
      </c>
      <c r="W20" s="44">
        <v>737</v>
      </c>
      <c r="X20" s="44">
        <v>526</v>
      </c>
      <c r="Y20" s="44">
        <v>350</v>
      </c>
      <c r="Z20" s="44">
        <v>268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818</v>
      </c>
      <c r="J22" s="24">
        <v>721</v>
      </c>
      <c r="K22" s="24">
        <v>560</v>
      </c>
      <c r="L22" s="24">
        <v>730</v>
      </c>
      <c r="M22" s="24">
        <v>729</v>
      </c>
      <c r="N22" s="24">
        <v>623</v>
      </c>
      <c r="O22" s="24">
        <v>685</v>
      </c>
      <c r="P22" s="24">
        <v>763</v>
      </c>
      <c r="Q22" s="24">
        <v>814</v>
      </c>
      <c r="R22" s="24">
        <v>838</v>
      </c>
      <c r="S22" s="24">
        <v>788</v>
      </c>
      <c r="T22" s="24">
        <v>843</v>
      </c>
      <c r="U22" s="24">
        <v>780</v>
      </c>
      <c r="V22" s="24">
        <v>833</v>
      </c>
      <c r="W22" s="24">
        <v>976</v>
      </c>
      <c r="X22" s="24">
        <v>904</v>
      </c>
      <c r="Y22" s="24">
        <v>700</v>
      </c>
      <c r="Z22" s="24">
        <v>466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818</v>
      </c>
      <c r="J23" s="44">
        <v>721</v>
      </c>
      <c r="K23" s="44">
        <v>560</v>
      </c>
      <c r="L23" s="44">
        <v>730</v>
      </c>
      <c r="M23" s="44">
        <v>729</v>
      </c>
      <c r="N23" s="44">
        <v>623</v>
      </c>
      <c r="O23" s="44">
        <v>685</v>
      </c>
      <c r="P23" s="44">
        <v>763</v>
      </c>
      <c r="Q23" s="44">
        <v>814</v>
      </c>
      <c r="R23" s="44">
        <v>838</v>
      </c>
      <c r="S23" s="44">
        <v>788</v>
      </c>
      <c r="T23" s="44">
        <v>843</v>
      </c>
      <c r="U23" s="44">
        <v>780</v>
      </c>
      <c r="V23" s="44">
        <v>833</v>
      </c>
      <c r="W23" s="44">
        <v>976</v>
      </c>
      <c r="X23" s="44">
        <v>904</v>
      </c>
      <c r="Y23" s="44">
        <v>700</v>
      </c>
      <c r="Z23" s="44">
        <v>466</v>
      </c>
      <c r="AA23" s="119"/>
    </row>
    <row r="24" spans="1:39" s="4" customFormat="1" ht="8.2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90</v>
      </c>
      <c r="J25" s="24">
        <v>468</v>
      </c>
      <c r="K25" s="24">
        <v>408</v>
      </c>
      <c r="L25" s="24">
        <v>444</v>
      </c>
      <c r="M25" s="24">
        <v>455</v>
      </c>
      <c r="N25" s="24">
        <v>540</v>
      </c>
      <c r="O25" s="24">
        <v>378</v>
      </c>
      <c r="P25" s="24">
        <v>365</v>
      </c>
      <c r="Q25" s="24">
        <v>424</v>
      </c>
      <c r="R25" s="24">
        <v>346</v>
      </c>
      <c r="S25" s="24">
        <v>507</v>
      </c>
      <c r="T25" s="24">
        <v>439</v>
      </c>
      <c r="U25" s="24">
        <v>446</v>
      </c>
      <c r="V25" s="24">
        <v>418</v>
      </c>
      <c r="W25" s="24">
        <v>591</v>
      </c>
      <c r="X25" s="24">
        <v>598</v>
      </c>
      <c r="Y25" s="24">
        <v>554</v>
      </c>
      <c r="Z25" s="24">
        <v>502</v>
      </c>
      <c r="AA25" s="119">
        <f>IFERROR(SUM(I25:Z25)/SUM(I26:Z26),0)</f>
        <v>0.99874733809344862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90</v>
      </c>
      <c r="J26" s="44">
        <v>469</v>
      </c>
      <c r="K26" s="44">
        <v>408</v>
      </c>
      <c r="L26" s="44">
        <v>446</v>
      </c>
      <c r="M26" s="44">
        <v>455</v>
      </c>
      <c r="N26" s="44">
        <v>541</v>
      </c>
      <c r="O26" s="44">
        <v>379</v>
      </c>
      <c r="P26" s="44">
        <v>366</v>
      </c>
      <c r="Q26" s="44">
        <v>427</v>
      </c>
      <c r="R26" s="44">
        <v>346</v>
      </c>
      <c r="S26" s="44">
        <v>507</v>
      </c>
      <c r="T26" s="44">
        <v>439</v>
      </c>
      <c r="U26" s="44">
        <v>446</v>
      </c>
      <c r="V26" s="44">
        <v>419</v>
      </c>
      <c r="W26" s="44">
        <v>591</v>
      </c>
      <c r="X26" s="44">
        <v>598</v>
      </c>
      <c r="Y26" s="44">
        <v>554</v>
      </c>
      <c r="Z26" s="44">
        <v>502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F2:G2"/>
    <mergeCell ref="A6:A9"/>
    <mergeCell ref="B6:H6"/>
    <mergeCell ref="B7:D7"/>
    <mergeCell ref="E7:H7"/>
    <mergeCell ref="A4:AA4"/>
    <mergeCell ref="A5:AA5"/>
    <mergeCell ref="I6:Z6"/>
    <mergeCell ref="AA6:AA9"/>
    <mergeCell ref="I7:Z7"/>
    <mergeCell ref="B8:Z8"/>
    <mergeCell ref="W2:AA2"/>
    <mergeCell ref="A1:AA1"/>
    <mergeCell ref="G13:G14"/>
    <mergeCell ref="G19:G20"/>
    <mergeCell ref="C10:C11"/>
    <mergeCell ref="C13:C14"/>
    <mergeCell ref="A13:A14"/>
    <mergeCell ref="A10:A11"/>
    <mergeCell ref="B10:B11"/>
    <mergeCell ref="D10:D11"/>
    <mergeCell ref="E10:E11"/>
    <mergeCell ref="F10:F11"/>
    <mergeCell ref="G10:G11"/>
    <mergeCell ref="A18:AA18"/>
    <mergeCell ref="AA19:AA20"/>
    <mergeCell ref="AA10:AA11"/>
    <mergeCell ref="A12:AA12"/>
    <mergeCell ref="I29:L29"/>
    <mergeCell ref="B34:M34"/>
    <mergeCell ref="A19:A20"/>
    <mergeCell ref="B19:B20"/>
    <mergeCell ref="D19:D20"/>
    <mergeCell ref="C19:C20"/>
    <mergeCell ref="E19:E20"/>
    <mergeCell ref="F19:F20"/>
    <mergeCell ref="D22:D23"/>
    <mergeCell ref="E22:E23"/>
    <mergeCell ref="F22:F23"/>
    <mergeCell ref="G22:G23"/>
    <mergeCell ref="C22:C23"/>
    <mergeCell ref="AA13:AA14"/>
    <mergeCell ref="A15:AA15"/>
    <mergeCell ref="AA16:AA17"/>
    <mergeCell ref="A16:A17"/>
    <mergeCell ref="B16:B17"/>
    <mergeCell ref="D16:D17"/>
    <mergeCell ref="E16:E17"/>
    <mergeCell ref="F16:F17"/>
    <mergeCell ref="G16:G17"/>
    <mergeCell ref="C16:C17"/>
    <mergeCell ref="B13:B14"/>
    <mergeCell ref="D13:D14"/>
    <mergeCell ref="E13:E14"/>
    <mergeCell ref="F13:F14"/>
    <mergeCell ref="B35:G35"/>
    <mergeCell ref="H35:M35"/>
    <mergeCell ref="B36:G37"/>
    <mergeCell ref="H36:M37"/>
    <mergeCell ref="AA22:AA23"/>
    <mergeCell ref="A24:AA24"/>
    <mergeCell ref="A25:A26"/>
    <mergeCell ref="B25:B26"/>
    <mergeCell ref="C25:C26"/>
    <mergeCell ref="D25:D26"/>
    <mergeCell ref="E25:E26"/>
    <mergeCell ref="F25:F26"/>
    <mergeCell ref="G25:G26"/>
    <mergeCell ref="AA25:AA26"/>
    <mergeCell ref="A22:A23"/>
    <mergeCell ref="B22:B23"/>
  </mergeCells>
  <phoneticPr fontId="29" type="noConversion"/>
  <conditionalFormatting sqref="I21:Z21">
    <cfRule type="colorScale" priority="817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663" priority="31" operator="greaterThan">
      <formula>95%</formula>
    </cfRule>
    <cfRule type="cellIs" dxfId="662" priority="32" operator="greaterThanOrEqual">
      <formula>90%</formula>
    </cfRule>
    <cfRule type="cellIs" dxfId="661" priority="33" operator="lessThan">
      <formula>89.99%</formula>
    </cfRule>
  </conditionalFormatting>
  <conditionalFormatting sqref="AA13">
    <cfRule type="cellIs" dxfId="660" priority="13" operator="greaterThan">
      <formula>95%</formula>
    </cfRule>
    <cfRule type="cellIs" dxfId="659" priority="14" operator="greaterThanOrEqual">
      <formula>90%</formula>
    </cfRule>
    <cfRule type="cellIs" dxfId="658" priority="15" operator="lessThan">
      <formula>89.99%</formula>
    </cfRule>
  </conditionalFormatting>
  <conditionalFormatting sqref="AA16">
    <cfRule type="cellIs" dxfId="657" priority="10" operator="greaterThan">
      <formula>95%</formula>
    </cfRule>
    <cfRule type="cellIs" dxfId="656" priority="11" operator="greaterThanOrEqual">
      <formula>90%</formula>
    </cfRule>
    <cfRule type="cellIs" dxfId="655" priority="12" operator="lessThan">
      <formula>89.99%</formula>
    </cfRule>
  </conditionalFormatting>
  <conditionalFormatting sqref="AA19">
    <cfRule type="cellIs" dxfId="654" priority="7" operator="greaterThan">
      <formula>95%</formula>
    </cfRule>
    <cfRule type="cellIs" dxfId="653" priority="8" operator="greaterThanOrEqual">
      <formula>90%</formula>
    </cfRule>
    <cfRule type="cellIs" dxfId="652" priority="9" operator="lessThan">
      <formula>89.99%</formula>
    </cfRule>
  </conditionalFormatting>
  <conditionalFormatting sqref="AA22">
    <cfRule type="cellIs" dxfId="651" priority="4" operator="greaterThanOrEqual">
      <formula>100%</formula>
    </cfRule>
    <cfRule type="cellIs" dxfId="650" priority="6" operator="lessThan">
      <formula>99.99%</formula>
    </cfRule>
  </conditionalFormatting>
  <conditionalFormatting sqref="AA25">
    <cfRule type="cellIs" dxfId="649" priority="1" operator="greaterThan">
      <formula>95%</formula>
    </cfRule>
    <cfRule type="cellIs" dxfId="648" priority="2" operator="greaterThanOrEqual">
      <formula>90%</formula>
    </cfRule>
    <cfRule type="cellIs" dxfId="647" priority="3" operator="lessThan">
      <formula>89.99%</formula>
    </cfRule>
  </conditionalFormatting>
  <dataValidations count="1">
    <dataValidation showDropDown="1" showInputMessage="1" showErrorMessage="1" sqref="C21 G19:G23 G10:G11 G16:G17 G13:G14 G25:G26" xr:uid="{EB51A4A0-C837-4BC7-9BF3-EB409387DBA0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</sheetPr>
  <dimension ref="A1:AM38"/>
  <sheetViews>
    <sheetView showGridLines="0" topLeftCell="D1" zoomScale="85" zoomScaleNormal="85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1</v>
      </c>
      <c r="F2" s="129" t="s">
        <v>25</v>
      </c>
      <c r="G2" s="129"/>
      <c r="H2" s="22">
        <v>160152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30</v>
      </c>
      <c r="J10" s="24">
        <v>76</v>
      </c>
      <c r="K10" s="24">
        <v>66</v>
      </c>
      <c r="L10" s="24">
        <v>265</v>
      </c>
      <c r="M10" s="24">
        <v>307</v>
      </c>
      <c r="N10" s="24">
        <v>132</v>
      </c>
      <c r="O10" s="24">
        <v>108</v>
      </c>
      <c r="P10" s="24">
        <v>162</v>
      </c>
      <c r="Q10" s="24">
        <v>177</v>
      </c>
      <c r="R10" s="24">
        <v>66</v>
      </c>
      <c r="S10" s="24">
        <v>117</v>
      </c>
      <c r="T10" s="24">
        <v>260</v>
      </c>
      <c r="U10" s="24">
        <v>104</v>
      </c>
      <c r="V10" s="24">
        <v>154</v>
      </c>
      <c r="W10" s="24">
        <v>223</v>
      </c>
      <c r="X10" s="24">
        <v>166</v>
      </c>
      <c r="Y10" s="24">
        <v>148</v>
      </c>
      <c r="Z10" s="24">
        <v>102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30</v>
      </c>
      <c r="J11" s="44">
        <v>76</v>
      </c>
      <c r="K11" s="44">
        <v>66</v>
      </c>
      <c r="L11" s="44">
        <v>265</v>
      </c>
      <c r="M11" s="44">
        <v>307</v>
      </c>
      <c r="N11" s="44">
        <v>132</v>
      </c>
      <c r="O11" s="44">
        <v>108</v>
      </c>
      <c r="P11" s="44">
        <v>162</v>
      </c>
      <c r="Q11" s="44">
        <v>177</v>
      </c>
      <c r="R11" s="44">
        <v>66</v>
      </c>
      <c r="S11" s="44">
        <v>117</v>
      </c>
      <c r="T11" s="44">
        <v>260</v>
      </c>
      <c r="U11" s="44">
        <v>104</v>
      </c>
      <c r="V11" s="44">
        <v>154</v>
      </c>
      <c r="W11" s="44">
        <v>223</v>
      </c>
      <c r="X11" s="44">
        <v>166</v>
      </c>
      <c r="Y11" s="44">
        <v>148</v>
      </c>
      <c r="Z11" s="44">
        <v>102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30</v>
      </c>
      <c r="J13" s="24">
        <v>75</v>
      </c>
      <c r="K13" s="24">
        <v>64</v>
      </c>
      <c r="L13" s="24">
        <v>264</v>
      </c>
      <c r="M13" s="24">
        <v>306</v>
      </c>
      <c r="N13" s="24">
        <v>130</v>
      </c>
      <c r="O13" s="24">
        <v>107</v>
      </c>
      <c r="P13" s="24">
        <v>161</v>
      </c>
      <c r="Q13" s="24">
        <v>173</v>
      </c>
      <c r="R13" s="24">
        <v>66</v>
      </c>
      <c r="S13" s="24">
        <v>115</v>
      </c>
      <c r="T13" s="24">
        <v>258</v>
      </c>
      <c r="U13" s="24">
        <v>104</v>
      </c>
      <c r="V13" s="24">
        <v>152</v>
      </c>
      <c r="W13" s="24">
        <v>223</v>
      </c>
      <c r="X13" s="24">
        <v>166</v>
      </c>
      <c r="Y13" s="24">
        <v>145</v>
      </c>
      <c r="Z13" s="24">
        <v>100</v>
      </c>
      <c r="AA13" s="119">
        <f>IFERROR(SUM(I13:Z13)/SUM(I14:Z14),0)</f>
        <v>0.99098760796094632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30</v>
      </c>
      <c r="J14" s="44">
        <v>76</v>
      </c>
      <c r="K14" s="44">
        <v>66</v>
      </c>
      <c r="L14" s="44">
        <v>265</v>
      </c>
      <c r="M14" s="44">
        <v>307</v>
      </c>
      <c r="N14" s="44">
        <v>132</v>
      </c>
      <c r="O14" s="44">
        <v>108</v>
      </c>
      <c r="P14" s="44">
        <v>162</v>
      </c>
      <c r="Q14" s="44">
        <v>177</v>
      </c>
      <c r="R14" s="44">
        <v>66</v>
      </c>
      <c r="S14" s="44">
        <v>117</v>
      </c>
      <c r="T14" s="44">
        <v>260</v>
      </c>
      <c r="U14" s="44">
        <v>104</v>
      </c>
      <c r="V14" s="44">
        <v>154</v>
      </c>
      <c r="W14" s="44">
        <v>223</v>
      </c>
      <c r="X14" s="44">
        <v>166</v>
      </c>
      <c r="Y14" s="44">
        <v>148</v>
      </c>
      <c r="Z14" s="44">
        <v>102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30</v>
      </c>
      <c r="J16" s="24">
        <v>76</v>
      </c>
      <c r="K16" s="24">
        <v>66</v>
      </c>
      <c r="L16" s="24">
        <v>265</v>
      </c>
      <c r="M16" s="24">
        <v>307</v>
      </c>
      <c r="N16" s="24">
        <v>132</v>
      </c>
      <c r="O16" s="24">
        <v>108</v>
      </c>
      <c r="P16" s="24">
        <v>162</v>
      </c>
      <c r="Q16" s="24">
        <v>177</v>
      </c>
      <c r="R16" s="24">
        <v>66</v>
      </c>
      <c r="S16" s="24">
        <v>117</v>
      </c>
      <c r="T16" s="24">
        <v>260</v>
      </c>
      <c r="U16" s="24">
        <v>104</v>
      </c>
      <c r="V16" s="24">
        <v>154</v>
      </c>
      <c r="W16" s="24">
        <v>223</v>
      </c>
      <c r="X16" s="24">
        <v>166</v>
      </c>
      <c r="Y16" s="24">
        <v>148</v>
      </c>
      <c r="Z16" s="24">
        <v>102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30</v>
      </c>
      <c r="J17" s="44">
        <v>76</v>
      </c>
      <c r="K17" s="44">
        <v>66</v>
      </c>
      <c r="L17" s="44">
        <v>265</v>
      </c>
      <c r="M17" s="44">
        <v>307</v>
      </c>
      <c r="N17" s="44">
        <v>132</v>
      </c>
      <c r="O17" s="44">
        <v>108</v>
      </c>
      <c r="P17" s="44">
        <v>162</v>
      </c>
      <c r="Q17" s="44">
        <v>177</v>
      </c>
      <c r="R17" s="44">
        <v>66</v>
      </c>
      <c r="S17" s="44">
        <v>117</v>
      </c>
      <c r="T17" s="44">
        <v>260</v>
      </c>
      <c r="U17" s="44">
        <v>104</v>
      </c>
      <c r="V17" s="44">
        <v>154</v>
      </c>
      <c r="W17" s="44">
        <v>223</v>
      </c>
      <c r="X17" s="44">
        <v>166</v>
      </c>
      <c r="Y17" s="44">
        <v>148</v>
      </c>
      <c r="Z17" s="44">
        <v>102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174</v>
      </c>
      <c r="J19" s="24">
        <v>72</v>
      </c>
      <c r="K19" s="24">
        <v>103</v>
      </c>
      <c r="L19" s="24">
        <v>148</v>
      </c>
      <c r="M19" s="24">
        <v>277</v>
      </c>
      <c r="N19" s="24">
        <v>220</v>
      </c>
      <c r="O19" s="24">
        <v>149</v>
      </c>
      <c r="P19" s="24">
        <v>150</v>
      </c>
      <c r="Q19" s="24">
        <v>157</v>
      </c>
      <c r="R19" s="24">
        <v>107</v>
      </c>
      <c r="S19" s="24">
        <v>84</v>
      </c>
      <c r="T19" s="24">
        <v>219</v>
      </c>
      <c r="U19" s="24">
        <v>162</v>
      </c>
      <c r="V19" s="24">
        <v>114</v>
      </c>
      <c r="W19" s="24">
        <v>250</v>
      </c>
      <c r="X19" s="24">
        <v>143</v>
      </c>
      <c r="Y19" s="24">
        <v>101</v>
      </c>
      <c r="Z19" s="24">
        <v>72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174</v>
      </c>
      <c r="J20" s="44">
        <v>72</v>
      </c>
      <c r="K20" s="44">
        <v>103</v>
      </c>
      <c r="L20" s="44">
        <v>148</v>
      </c>
      <c r="M20" s="44">
        <v>277</v>
      </c>
      <c r="N20" s="44">
        <v>220</v>
      </c>
      <c r="O20" s="44">
        <v>149</v>
      </c>
      <c r="P20" s="44">
        <v>150</v>
      </c>
      <c r="Q20" s="44">
        <v>157</v>
      </c>
      <c r="R20" s="44">
        <v>107</v>
      </c>
      <c r="S20" s="44">
        <v>84</v>
      </c>
      <c r="T20" s="44">
        <v>219</v>
      </c>
      <c r="U20" s="44">
        <v>162</v>
      </c>
      <c r="V20" s="44">
        <v>114</v>
      </c>
      <c r="W20" s="44">
        <v>250</v>
      </c>
      <c r="X20" s="44">
        <v>143</v>
      </c>
      <c r="Y20" s="44">
        <v>101</v>
      </c>
      <c r="Z20" s="44">
        <v>72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595</v>
      </c>
      <c r="J22" s="24">
        <v>643</v>
      </c>
      <c r="K22" s="24">
        <v>604</v>
      </c>
      <c r="L22" s="24">
        <v>655</v>
      </c>
      <c r="M22" s="24">
        <v>783</v>
      </c>
      <c r="N22" s="24">
        <v>817</v>
      </c>
      <c r="O22" s="24">
        <v>893</v>
      </c>
      <c r="P22" s="24">
        <v>737</v>
      </c>
      <c r="Q22" s="24">
        <v>554</v>
      </c>
      <c r="R22" s="24">
        <v>548</v>
      </c>
      <c r="S22" s="24">
        <v>450</v>
      </c>
      <c r="T22" s="24">
        <v>468</v>
      </c>
      <c r="U22" s="24">
        <v>550</v>
      </c>
      <c r="V22" s="24">
        <v>551</v>
      </c>
      <c r="W22" s="24">
        <v>578</v>
      </c>
      <c r="X22" s="24">
        <v>534</v>
      </c>
      <c r="Y22" s="24">
        <v>396</v>
      </c>
      <c r="Z22" s="24">
        <v>259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595</v>
      </c>
      <c r="J23" s="44">
        <v>643</v>
      </c>
      <c r="K23" s="44">
        <v>604</v>
      </c>
      <c r="L23" s="44">
        <v>655</v>
      </c>
      <c r="M23" s="44">
        <v>783</v>
      </c>
      <c r="N23" s="44">
        <v>817</v>
      </c>
      <c r="O23" s="44">
        <v>893</v>
      </c>
      <c r="P23" s="44">
        <v>737</v>
      </c>
      <c r="Q23" s="44">
        <v>554</v>
      </c>
      <c r="R23" s="44">
        <v>548</v>
      </c>
      <c r="S23" s="44">
        <v>450</v>
      </c>
      <c r="T23" s="44">
        <v>468</v>
      </c>
      <c r="U23" s="44">
        <v>550</v>
      </c>
      <c r="V23" s="44">
        <v>551</v>
      </c>
      <c r="W23" s="44">
        <v>578</v>
      </c>
      <c r="X23" s="44">
        <v>534</v>
      </c>
      <c r="Y23" s="44">
        <v>396</v>
      </c>
      <c r="Z23" s="44">
        <v>259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0</v>
      </c>
      <c r="J25" s="24">
        <v>23</v>
      </c>
      <c r="K25" s="24">
        <v>133</v>
      </c>
      <c r="L25" s="24">
        <v>97</v>
      </c>
      <c r="M25" s="24">
        <v>149</v>
      </c>
      <c r="N25" s="24">
        <v>186</v>
      </c>
      <c r="O25" s="24">
        <v>73</v>
      </c>
      <c r="P25" s="24">
        <v>306</v>
      </c>
      <c r="Q25" s="24">
        <v>340</v>
      </c>
      <c r="R25" s="24">
        <v>113</v>
      </c>
      <c r="S25" s="24">
        <v>180</v>
      </c>
      <c r="T25" s="24">
        <v>201</v>
      </c>
      <c r="U25" s="24">
        <v>80</v>
      </c>
      <c r="V25" s="24">
        <v>113</v>
      </c>
      <c r="W25" s="24">
        <v>222</v>
      </c>
      <c r="X25" s="24">
        <v>187</v>
      </c>
      <c r="Y25" s="24">
        <v>239</v>
      </c>
      <c r="Z25" s="24">
        <v>209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0</v>
      </c>
      <c r="J26" s="44">
        <v>23</v>
      </c>
      <c r="K26" s="44">
        <v>133</v>
      </c>
      <c r="L26" s="44">
        <v>97</v>
      </c>
      <c r="M26" s="44">
        <v>149</v>
      </c>
      <c r="N26" s="44">
        <v>186</v>
      </c>
      <c r="O26" s="44">
        <v>73</v>
      </c>
      <c r="P26" s="44">
        <v>306</v>
      </c>
      <c r="Q26" s="44">
        <v>340</v>
      </c>
      <c r="R26" s="44">
        <v>113</v>
      </c>
      <c r="S26" s="44">
        <v>180</v>
      </c>
      <c r="T26" s="44">
        <v>201</v>
      </c>
      <c r="U26" s="44">
        <v>80</v>
      </c>
      <c r="V26" s="44">
        <v>113</v>
      </c>
      <c r="W26" s="44">
        <v>222</v>
      </c>
      <c r="X26" s="44">
        <v>187</v>
      </c>
      <c r="Y26" s="44">
        <v>239</v>
      </c>
      <c r="Z26" s="44">
        <v>209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G25:G26"/>
    <mergeCell ref="AA25:AA26"/>
    <mergeCell ref="A24:AA24"/>
    <mergeCell ref="A25:A26"/>
    <mergeCell ref="B25:B26"/>
    <mergeCell ref="C25:C26"/>
    <mergeCell ref="D25:D26"/>
    <mergeCell ref="E25:E26"/>
    <mergeCell ref="F25:F26"/>
    <mergeCell ref="E22:E23"/>
    <mergeCell ref="F19:F20"/>
    <mergeCell ref="G19:G20"/>
    <mergeCell ref="AA19:AA20"/>
    <mergeCell ref="A19:A20"/>
    <mergeCell ref="B19:B20"/>
    <mergeCell ref="C19:C20"/>
    <mergeCell ref="D19:D20"/>
    <mergeCell ref="E19:E20"/>
    <mergeCell ref="F22:F23"/>
    <mergeCell ref="G22:G23"/>
    <mergeCell ref="AA22:AA23"/>
    <mergeCell ref="A22:A23"/>
    <mergeCell ref="B22:B23"/>
    <mergeCell ref="C22:C23"/>
    <mergeCell ref="D22:D23"/>
    <mergeCell ref="F16:F17"/>
    <mergeCell ref="G16:G17"/>
    <mergeCell ref="AA16:AA17"/>
    <mergeCell ref="A18:AA18"/>
    <mergeCell ref="A16:A17"/>
    <mergeCell ref="B16:B17"/>
    <mergeCell ref="C16:C17"/>
    <mergeCell ref="D16:D17"/>
    <mergeCell ref="E16:E17"/>
    <mergeCell ref="F13:F14"/>
    <mergeCell ref="G13:G14"/>
    <mergeCell ref="AA13:AA14"/>
    <mergeCell ref="A15:AA15"/>
    <mergeCell ref="A13:A14"/>
    <mergeCell ref="B13:B14"/>
    <mergeCell ref="C13:C14"/>
    <mergeCell ref="D13:D14"/>
    <mergeCell ref="E13:E14"/>
    <mergeCell ref="F10:F11"/>
    <mergeCell ref="G10:G11"/>
    <mergeCell ref="AA10:AA11"/>
    <mergeCell ref="A12:AA12"/>
    <mergeCell ref="A10:A11"/>
    <mergeCell ref="B10:B11"/>
    <mergeCell ref="C10:C11"/>
    <mergeCell ref="D10:D11"/>
    <mergeCell ref="E10:E11"/>
    <mergeCell ref="A1:AA1"/>
    <mergeCell ref="F2:G2"/>
    <mergeCell ref="W2:AA2"/>
    <mergeCell ref="A4:AA4"/>
    <mergeCell ref="A5:AA5"/>
    <mergeCell ref="A6:A9"/>
    <mergeCell ref="B6:H6"/>
    <mergeCell ref="I6:Z6"/>
    <mergeCell ref="AA6:AA9"/>
    <mergeCell ref="B7:D7"/>
    <mergeCell ref="E7:H7"/>
    <mergeCell ref="I7:Z7"/>
    <mergeCell ref="B8:Z8"/>
    <mergeCell ref="I29:L29"/>
    <mergeCell ref="B34:M34"/>
    <mergeCell ref="B35:G35"/>
    <mergeCell ref="H35:M35"/>
    <mergeCell ref="B36:G37"/>
    <mergeCell ref="H36:M37"/>
  </mergeCells>
  <conditionalFormatting sqref="I21:Z21">
    <cfRule type="colorScale" priority="3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646" priority="18" operator="greaterThan">
      <formula>95%</formula>
    </cfRule>
    <cfRule type="cellIs" dxfId="645" priority="19" operator="greaterThanOrEqual">
      <formula>90%</formula>
    </cfRule>
    <cfRule type="cellIs" dxfId="644" priority="20" operator="lessThan">
      <formula>89.99%</formula>
    </cfRule>
  </conditionalFormatting>
  <conditionalFormatting sqref="AA13">
    <cfRule type="cellIs" dxfId="643" priority="15" operator="greaterThan">
      <formula>95%</formula>
    </cfRule>
    <cfRule type="cellIs" dxfId="642" priority="16" operator="greaterThanOrEqual">
      <formula>90%</formula>
    </cfRule>
    <cfRule type="cellIs" dxfId="641" priority="17" operator="lessThan">
      <formula>89.99%</formula>
    </cfRule>
  </conditionalFormatting>
  <conditionalFormatting sqref="AA16">
    <cfRule type="cellIs" dxfId="640" priority="12" operator="greaterThan">
      <formula>95%</formula>
    </cfRule>
    <cfRule type="cellIs" dxfId="639" priority="13" operator="greaterThanOrEqual">
      <formula>90%</formula>
    </cfRule>
    <cfRule type="cellIs" dxfId="638" priority="14" operator="lessThan">
      <formula>89.99%</formula>
    </cfRule>
  </conditionalFormatting>
  <conditionalFormatting sqref="AA19">
    <cfRule type="cellIs" dxfId="637" priority="9" operator="greaterThan">
      <formula>95%</formula>
    </cfRule>
    <cfRule type="cellIs" dxfId="636" priority="10" operator="greaterThanOrEqual">
      <formula>90%</formula>
    </cfRule>
    <cfRule type="cellIs" dxfId="635" priority="11" operator="lessThan">
      <formula>89.99%</formula>
    </cfRule>
  </conditionalFormatting>
  <conditionalFormatting sqref="AA22">
    <cfRule type="cellIs" dxfId="634" priority="1" operator="greaterThanOrEqual">
      <formula>100%</formula>
    </cfRule>
    <cfRule type="cellIs" dxfId="633" priority="2" operator="lessThan">
      <formula>99.99%</formula>
    </cfRule>
  </conditionalFormatting>
  <conditionalFormatting sqref="AA25">
    <cfRule type="cellIs" dxfId="632" priority="3" operator="greaterThan">
      <formula>95%</formula>
    </cfRule>
    <cfRule type="cellIs" dxfId="631" priority="4" operator="greaterThanOrEqual">
      <formula>90%</formula>
    </cfRule>
    <cfRule type="cellIs" dxfId="630" priority="5" operator="lessThan">
      <formula>89.99%</formula>
    </cfRule>
  </conditionalFormatting>
  <dataValidations count="1">
    <dataValidation showDropDown="1" showInputMessage="1" showErrorMessage="1" sqref="C21 G19:G23 G10:G11 G16:G17 G13:G14 G25:G26" xr:uid="{45975E16-DBF1-4CA2-9B18-5D6785F3FFE8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</sheetPr>
  <dimension ref="A1:AM38"/>
  <sheetViews>
    <sheetView showGridLines="0" topLeftCell="E4" zoomScale="85" zoomScaleNormal="85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1</v>
      </c>
      <c r="F2" s="129" t="s">
        <v>25</v>
      </c>
      <c r="G2" s="129"/>
      <c r="H2" s="22">
        <v>160153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3</v>
      </c>
      <c r="J10" s="24">
        <v>153</v>
      </c>
      <c r="K10" s="24">
        <v>123</v>
      </c>
      <c r="L10" s="24">
        <v>139</v>
      </c>
      <c r="M10" s="24">
        <v>202</v>
      </c>
      <c r="N10" s="24">
        <v>226</v>
      </c>
      <c r="O10" s="24">
        <v>134</v>
      </c>
      <c r="P10" s="24">
        <v>252</v>
      </c>
      <c r="Q10" s="24">
        <v>147</v>
      </c>
      <c r="R10" s="24">
        <v>144</v>
      </c>
      <c r="S10" s="24">
        <v>199</v>
      </c>
      <c r="T10" s="24">
        <v>292</v>
      </c>
      <c r="U10" s="24">
        <v>217</v>
      </c>
      <c r="V10" s="24">
        <v>185</v>
      </c>
      <c r="W10" s="24">
        <v>267</v>
      </c>
      <c r="X10" s="24">
        <v>279</v>
      </c>
      <c r="Y10" s="24">
        <v>145</v>
      </c>
      <c r="Z10" s="24">
        <v>86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3</v>
      </c>
      <c r="J11" s="44">
        <v>153</v>
      </c>
      <c r="K11" s="44">
        <v>123</v>
      </c>
      <c r="L11" s="44">
        <v>139</v>
      </c>
      <c r="M11" s="44">
        <v>202</v>
      </c>
      <c r="N11" s="44">
        <v>226</v>
      </c>
      <c r="O11" s="44">
        <v>134</v>
      </c>
      <c r="P11" s="44">
        <v>252</v>
      </c>
      <c r="Q11" s="44">
        <v>147</v>
      </c>
      <c r="R11" s="44">
        <v>144</v>
      </c>
      <c r="S11" s="44">
        <v>199</v>
      </c>
      <c r="T11" s="44">
        <v>292</v>
      </c>
      <c r="U11" s="44">
        <v>217</v>
      </c>
      <c r="V11" s="44">
        <v>185</v>
      </c>
      <c r="W11" s="44">
        <v>267</v>
      </c>
      <c r="X11" s="44">
        <v>279</v>
      </c>
      <c r="Y11" s="44">
        <v>145</v>
      </c>
      <c r="Z11" s="44">
        <v>86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3</v>
      </c>
      <c r="J13" s="24">
        <v>153</v>
      </c>
      <c r="K13" s="24">
        <v>123</v>
      </c>
      <c r="L13" s="24">
        <v>139</v>
      </c>
      <c r="M13" s="24">
        <v>199</v>
      </c>
      <c r="N13" s="24">
        <v>226</v>
      </c>
      <c r="O13" s="24">
        <v>133</v>
      </c>
      <c r="P13" s="24">
        <v>248</v>
      </c>
      <c r="Q13" s="24">
        <v>147</v>
      </c>
      <c r="R13" s="24">
        <v>143</v>
      </c>
      <c r="S13" s="24">
        <v>195</v>
      </c>
      <c r="T13" s="24">
        <v>288</v>
      </c>
      <c r="U13" s="24">
        <v>216</v>
      </c>
      <c r="V13" s="24">
        <v>181</v>
      </c>
      <c r="W13" s="24">
        <v>267</v>
      </c>
      <c r="X13" s="24">
        <v>279</v>
      </c>
      <c r="Y13" s="24">
        <v>144</v>
      </c>
      <c r="Z13" s="24">
        <v>86</v>
      </c>
      <c r="AA13" s="119">
        <f>IFERROR(SUM(I13:Z13)/SUM(I14:Z14),0)</f>
        <v>0.99279674287503916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3</v>
      </c>
      <c r="J14" s="44">
        <v>153</v>
      </c>
      <c r="K14" s="44">
        <v>123</v>
      </c>
      <c r="L14" s="44">
        <v>139</v>
      </c>
      <c r="M14" s="44">
        <v>202</v>
      </c>
      <c r="N14" s="44">
        <v>226</v>
      </c>
      <c r="O14" s="44">
        <v>134</v>
      </c>
      <c r="P14" s="44">
        <v>252</v>
      </c>
      <c r="Q14" s="44">
        <v>147</v>
      </c>
      <c r="R14" s="44">
        <v>144</v>
      </c>
      <c r="S14" s="44">
        <v>199</v>
      </c>
      <c r="T14" s="44">
        <v>292</v>
      </c>
      <c r="U14" s="44">
        <v>217</v>
      </c>
      <c r="V14" s="44">
        <v>185</v>
      </c>
      <c r="W14" s="44">
        <v>267</v>
      </c>
      <c r="X14" s="44">
        <v>279</v>
      </c>
      <c r="Y14" s="44">
        <v>145</v>
      </c>
      <c r="Z14" s="44">
        <v>86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3</v>
      </c>
      <c r="J16" s="24">
        <v>153</v>
      </c>
      <c r="K16" s="24">
        <v>123</v>
      </c>
      <c r="L16" s="24">
        <v>139</v>
      </c>
      <c r="M16" s="24">
        <v>202</v>
      </c>
      <c r="N16" s="24">
        <v>226</v>
      </c>
      <c r="O16" s="24">
        <v>134</v>
      </c>
      <c r="P16" s="24">
        <v>252</v>
      </c>
      <c r="Q16" s="24">
        <v>147</v>
      </c>
      <c r="R16" s="24">
        <v>144</v>
      </c>
      <c r="S16" s="24">
        <v>199</v>
      </c>
      <c r="T16" s="24">
        <v>292</v>
      </c>
      <c r="U16" s="24">
        <v>217</v>
      </c>
      <c r="V16" s="24">
        <v>185</v>
      </c>
      <c r="W16" s="24">
        <v>267</v>
      </c>
      <c r="X16" s="24">
        <v>279</v>
      </c>
      <c r="Y16" s="24">
        <v>145</v>
      </c>
      <c r="Z16" s="24">
        <v>86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3</v>
      </c>
      <c r="J17" s="44">
        <v>153</v>
      </c>
      <c r="K17" s="44">
        <v>123</v>
      </c>
      <c r="L17" s="44">
        <v>139</v>
      </c>
      <c r="M17" s="44">
        <v>202</v>
      </c>
      <c r="N17" s="44">
        <v>226</v>
      </c>
      <c r="O17" s="44">
        <v>134</v>
      </c>
      <c r="P17" s="44">
        <v>252</v>
      </c>
      <c r="Q17" s="44">
        <v>147</v>
      </c>
      <c r="R17" s="44">
        <v>144</v>
      </c>
      <c r="S17" s="44">
        <v>199</v>
      </c>
      <c r="T17" s="44">
        <v>292</v>
      </c>
      <c r="U17" s="44">
        <v>217</v>
      </c>
      <c r="V17" s="44">
        <v>185</v>
      </c>
      <c r="W17" s="44">
        <v>267</v>
      </c>
      <c r="X17" s="44">
        <v>279</v>
      </c>
      <c r="Y17" s="44">
        <v>145</v>
      </c>
      <c r="Z17" s="44">
        <v>86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134</v>
      </c>
      <c r="J19" s="24">
        <v>50</v>
      </c>
      <c r="K19" s="24">
        <v>118</v>
      </c>
      <c r="L19" s="24">
        <v>153</v>
      </c>
      <c r="M19" s="24">
        <v>181</v>
      </c>
      <c r="N19" s="24">
        <v>220</v>
      </c>
      <c r="O19" s="24">
        <v>318</v>
      </c>
      <c r="P19" s="24">
        <v>194</v>
      </c>
      <c r="Q19" s="24">
        <v>211</v>
      </c>
      <c r="R19" s="24">
        <v>96</v>
      </c>
      <c r="S19" s="24">
        <v>53</v>
      </c>
      <c r="T19" s="24">
        <v>0</v>
      </c>
      <c r="U19" s="24">
        <v>465</v>
      </c>
      <c r="V19" s="24">
        <v>172</v>
      </c>
      <c r="W19" s="24">
        <v>253</v>
      </c>
      <c r="X19" s="24">
        <v>132</v>
      </c>
      <c r="Y19" s="24">
        <v>294</v>
      </c>
      <c r="Z19" s="24">
        <v>79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134</v>
      </c>
      <c r="J20" s="44">
        <v>50</v>
      </c>
      <c r="K20" s="44">
        <v>118</v>
      </c>
      <c r="L20" s="44">
        <v>153</v>
      </c>
      <c r="M20" s="44">
        <v>181</v>
      </c>
      <c r="N20" s="44">
        <v>220</v>
      </c>
      <c r="O20" s="44">
        <v>318</v>
      </c>
      <c r="P20" s="44">
        <v>194</v>
      </c>
      <c r="Q20" s="44">
        <v>211</v>
      </c>
      <c r="R20" s="44">
        <v>96</v>
      </c>
      <c r="S20" s="44">
        <v>53</v>
      </c>
      <c r="T20" s="44">
        <v>0</v>
      </c>
      <c r="U20" s="44">
        <v>465</v>
      </c>
      <c r="V20" s="44">
        <v>172</v>
      </c>
      <c r="W20" s="44">
        <v>253</v>
      </c>
      <c r="X20" s="44">
        <v>132</v>
      </c>
      <c r="Y20" s="44">
        <v>294</v>
      </c>
      <c r="Z20" s="44">
        <v>79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583</v>
      </c>
      <c r="J22" s="24">
        <v>430</v>
      </c>
      <c r="K22" s="24">
        <v>542</v>
      </c>
      <c r="L22" s="24">
        <v>526</v>
      </c>
      <c r="M22" s="24">
        <v>543</v>
      </c>
      <c r="N22" s="24">
        <v>817</v>
      </c>
      <c r="O22" s="24">
        <v>756</v>
      </c>
      <c r="P22" s="24">
        <v>862</v>
      </c>
      <c r="Q22" s="24">
        <v>913</v>
      </c>
      <c r="R22" s="24">
        <v>817</v>
      </c>
      <c r="S22" s="24">
        <v>909</v>
      </c>
      <c r="T22" s="24">
        <v>684</v>
      </c>
      <c r="U22" s="24">
        <v>1002</v>
      </c>
      <c r="V22" s="24">
        <v>1027</v>
      </c>
      <c r="W22" s="24">
        <v>1020</v>
      </c>
      <c r="X22" s="24">
        <v>572</v>
      </c>
      <c r="Y22" s="24">
        <v>823</v>
      </c>
      <c r="Z22" s="24">
        <v>871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583</v>
      </c>
      <c r="J23" s="44">
        <v>430</v>
      </c>
      <c r="K23" s="44">
        <v>542</v>
      </c>
      <c r="L23" s="44">
        <v>526</v>
      </c>
      <c r="M23" s="44">
        <v>543</v>
      </c>
      <c r="N23" s="44">
        <v>817</v>
      </c>
      <c r="O23" s="44">
        <v>756</v>
      </c>
      <c r="P23" s="44">
        <v>862</v>
      </c>
      <c r="Q23" s="44">
        <v>913</v>
      </c>
      <c r="R23" s="44">
        <v>817</v>
      </c>
      <c r="S23" s="44">
        <v>909</v>
      </c>
      <c r="T23" s="44">
        <v>684</v>
      </c>
      <c r="U23" s="44">
        <v>1002</v>
      </c>
      <c r="V23" s="44">
        <v>1027</v>
      </c>
      <c r="W23" s="44">
        <v>1020</v>
      </c>
      <c r="X23" s="44">
        <v>572</v>
      </c>
      <c r="Y23" s="44">
        <v>823</v>
      </c>
      <c r="Z23" s="44">
        <v>871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0</v>
      </c>
      <c r="J25" s="24">
        <v>203</v>
      </c>
      <c r="K25" s="24">
        <v>0</v>
      </c>
      <c r="L25" s="24">
        <v>169</v>
      </c>
      <c r="M25" s="24">
        <v>164</v>
      </c>
      <c r="N25" s="24">
        <v>226</v>
      </c>
      <c r="O25" s="24">
        <v>143</v>
      </c>
      <c r="P25" s="24">
        <v>88</v>
      </c>
      <c r="Q25" s="24">
        <v>160</v>
      </c>
      <c r="R25" s="24">
        <v>192</v>
      </c>
      <c r="S25" s="24">
        <v>110</v>
      </c>
      <c r="T25" s="24">
        <v>225</v>
      </c>
      <c r="U25" s="24">
        <v>147</v>
      </c>
      <c r="V25" s="24">
        <v>147</v>
      </c>
      <c r="W25" s="24">
        <v>259</v>
      </c>
      <c r="X25" s="24">
        <v>580</v>
      </c>
      <c r="Y25" s="24">
        <v>43</v>
      </c>
      <c r="Z25" s="24">
        <v>31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0</v>
      </c>
      <c r="J26" s="44">
        <v>203</v>
      </c>
      <c r="K26" s="44">
        <v>0</v>
      </c>
      <c r="L26" s="44">
        <v>169</v>
      </c>
      <c r="M26" s="44">
        <v>164</v>
      </c>
      <c r="N26" s="44">
        <v>226</v>
      </c>
      <c r="O26" s="44">
        <v>143</v>
      </c>
      <c r="P26" s="44">
        <v>88</v>
      </c>
      <c r="Q26" s="44">
        <v>160</v>
      </c>
      <c r="R26" s="44">
        <v>192</v>
      </c>
      <c r="S26" s="44">
        <v>110</v>
      </c>
      <c r="T26" s="44">
        <v>225</v>
      </c>
      <c r="U26" s="44">
        <v>147</v>
      </c>
      <c r="V26" s="44">
        <v>147</v>
      </c>
      <c r="W26" s="44">
        <v>259</v>
      </c>
      <c r="X26" s="44">
        <v>580</v>
      </c>
      <c r="Y26" s="44">
        <v>43</v>
      </c>
      <c r="Z26" s="44">
        <v>31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G25:G26"/>
    <mergeCell ref="AA25:AA26"/>
    <mergeCell ref="A24:AA24"/>
    <mergeCell ref="A25:A26"/>
    <mergeCell ref="B25:B26"/>
    <mergeCell ref="C25:C26"/>
    <mergeCell ref="D25:D26"/>
    <mergeCell ref="E25:E26"/>
    <mergeCell ref="F25:F26"/>
    <mergeCell ref="E22:E23"/>
    <mergeCell ref="F19:F20"/>
    <mergeCell ref="G19:G20"/>
    <mergeCell ref="AA19:AA20"/>
    <mergeCell ref="A19:A20"/>
    <mergeCell ref="B19:B20"/>
    <mergeCell ref="C19:C20"/>
    <mergeCell ref="D19:D20"/>
    <mergeCell ref="E19:E20"/>
    <mergeCell ref="F22:F23"/>
    <mergeCell ref="G22:G23"/>
    <mergeCell ref="AA22:AA23"/>
    <mergeCell ref="A22:A23"/>
    <mergeCell ref="B22:B23"/>
    <mergeCell ref="C22:C23"/>
    <mergeCell ref="D22:D23"/>
    <mergeCell ref="F16:F17"/>
    <mergeCell ref="G16:G17"/>
    <mergeCell ref="AA16:AA17"/>
    <mergeCell ref="A18:AA18"/>
    <mergeCell ref="A16:A17"/>
    <mergeCell ref="B16:B17"/>
    <mergeCell ref="C16:C17"/>
    <mergeCell ref="D16:D17"/>
    <mergeCell ref="E16:E17"/>
    <mergeCell ref="F13:F14"/>
    <mergeCell ref="G13:G14"/>
    <mergeCell ref="AA13:AA14"/>
    <mergeCell ref="A15:AA15"/>
    <mergeCell ref="A13:A14"/>
    <mergeCell ref="B13:B14"/>
    <mergeCell ref="C13:C14"/>
    <mergeCell ref="D13:D14"/>
    <mergeCell ref="E13:E14"/>
    <mergeCell ref="F10:F11"/>
    <mergeCell ref="G10:G11"/>
    <mergeCell ref="AA10:AA11"/>
    <mergeCell ref="A12:AA12"/>
    <mergeCell ref="A10:A11"/>
    <mergeCell ref="B10:B11"/>
    <mergeCell ref="C10:C11"/>
    <mergeCell ref="D10:D11"/>
    <mergeCell ref="E10:E11"/>
    <mergeCell ref="A1:AA1"/>
    <mergeCell ref="F2:G2"/>
    <mergeCell ref="W2:AA2"/>
    <mergeCell ref="A4:AA4"/>
    <mergeCell ref="A5:AA5"/>
    <mergeCell ref="A6:A9"/>
    <mergeCell ref="B6:H6"/>
    <mergeCell ref="I6:Z6"/>
    <mergeCell ref="AA6:AA9"/>
    <mergeCell ref="B7:D7"/>
    <mergeCell ref="E7:H7"/>
    <mergeCell ref="I7:Z7"/>
    <mergeCell ref="B8:Z8"/>
    <mergeCell ref="I29:L29"/>
    <mergeCell ref="B34:M34"/>
    <mergeCell ref="B35:G35"/>
    <mergeCell ref="H35:M35"/>
    <mergeCell ref="B36:G37"/>
    <mergeCell ref="H36:M37"/>
  </mergeCells>
  <conditionalFormatting sqref="I21:Z21">
    <cfRule type="colorScale" priority="3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629" priority="18" operator="greaterThan">
      <formula>95%</formula>
    </cfRule>
    <cfRule type="cellIs" dxfId="628" priority="19" operator="greaterThanOrEqual">
      <formula>90%</formula>
    </cfRule>
    <cfRule type="cellIs" dxfId="627" priority="20" operator="lessThan">
      <formula>89.99%</formula>
    </cfRule>
  </conditionalFormatting>
  <conditionalFormatting sqref="AA13">
    <cfRule type="cellIs" dxfId="626" priority="15" operator="greaterThan">
      <formula>95%</formula>
    </cfRule>
    <cfRule type="cellIs" dxfId="625" priority="16" operator="greaterThanOrEqual">
      <formula>90%</formula>
    </cfRule>
    <cfRule type="cellIs" dxfId="624" priority="17" operator="lessThan">
      <formula>89.99%</formula>
    </cfRule>
  </conditionalFormatting>
  <conditionalFormatting sqref="AA16">
    <cfRule type="cellIs" dxfId="623" priority="12" operator="greaterThan">
      <formula>95%</formula>
    </cfRule>
    <cfRule type="cellIs" dxfId="622" priority="13" operator="greaterThanOrEqual">
      <formula>90%</formula>
    </cfRule>
    <cfRule type="cellIs" dxfId="621" priority="14" operator="lessThan">
      <formula>89.99%</formula>
    </cfRule>
  </conditionalFormatting>
  <conditionalFormatting sqref="AA19">
    <cfRule type="cellIs" dxfId="620" priority="9" operator="greaterThan">
      <formula>95%</formula>
    </cfRule>
    <cfRule type="cellIs" dxfId="619" priority="10" operator="greaterThanOrEqual">
      <formula>90%</formula>
    </cfRule>
    <cfRule type="cellIs" dxfId="618" priority="11" operator="lessThan">
      <formula>89.99%</formula>
    </cfRule>
  </conditionalFormatting>
  <conditionalFormatting sqref="AA22">
    <cfRule type="cellIs" dxfId="617" priority="1" operator="greaterThanOrEqual">
      <formula>100%</formula>
    </cfRule>
    <cfRule type="cellIs" dxfId="616" priority="2" operator="lessThan">
      <formula>99.99%</formula>
    </cfRule>
  </conditionalFormatting>
  <conditionalFormatting sqref="AA25">
    <cfRule type="cellIs" dxfId="615" priority="3" operator="greaterThan">
      <formula>95%</formula>
    </cfRule>
    <cfRule type="cellIs" dxfId="614" priority="4" operator="greaterThanOrEqual">
      <formula>90%</formula>
    </cfRule>
    <cfRule type="cellIs" dxfId="613" priority="5" operator="lessThan">
      <formula>89.99%</formula>
    </cfRule>
  </conditionalFormatting>
  <dataValidations count="1">
    <dataValidation showDropDown="1" showInputMessage="1" showErrorMessage="1" sqref="C21 G19:G23 G10:G11 G16:G17 G13:G14 G25:G26" xr:uid="{FED372C2-5C33-4B08-ADBE-0C894412100C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69C2"/>
  </sheetPr>
  <dimension ref="A1:AM38"/>
  <sheetViews>
    <sheetView showGridLines="0" topLeftCell="A10" zoomScale="70" zoomScaleNormal="70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2</v>
      </c>
      <c r="F2" s="129" t="s">
        <v>25</v>
      </c>
      <c r="G2" s="129"/>
      <c r="H2" s="22">
        <v>160255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46</v>
      </c>
      <c r="J10" s="24">
        <v>283</v>
      </c>
      <c r="K10" s="24">
        <v>272</v>
      </c>
      <c r="L10" s="24">
        <v>275</v>
      </c>
      <c r="M10" s="24">
        <v>308</v>
      </c>
      <c r="N10" s="24">
        <v>344</v>
      </c>
      <c r="O10" s="24">
        <v>298</v>
      </c>
      <c r="P10" s="24">
        <v>300</v>
      </c>
      <c r="Q10" s="24">
        <v>278</v>
      </c>
      <c r="R10" s="24">
        <v>229</v>
      </c>
      <c r="S10" s="24">
        <v>382</v>
      </c>
      <c r="T10" s="24">
        <v>388</v>
      </c>
      <c r="U10" s="24">
        <v>302</v>
      </c>
      <c r="V10" s="24">
        <v>382</v>
      </c>
      <c r="W10" s="24">
        <v>396</v>
      </c>
      <c r="X10" s="24">
        <v>418</v>
      </c>
      <c r="Y10" s="24">
        <v>471</v>
      </c>
      <c r="Z10" s="24">
        <v>359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46</v>
      </c>
      <c r="J11" s="44">
        <v>283</v>
      </c>
      <c r="K11" s="44">
        <v>272</v>
      </c>
      <c r="L11" s="44">
        <v>275</v>
      </c>
      <c r="M11" s="44">
        <v>308</v>
      </c>
      <c r="N11" s="44">
        <v>344</v>
      </c>
      <c r="O11" s="44">
        <v>298</v>
      </c>
      <c r="P11" s="44">
        <v>300</v>
      </c>
      <c r="Q11" s="44">
        <v>278</v>
      </c>
      <c r="R11" s="44">
        <v>229</v>
      </c>
      <c r="S11" s="44">
        <v>382</v>
      </c>
      <c r="T11" s="44">
        <v>388</v>
      </c>
      <c r="U11" s="44">
        <v>302</v>
      </c>
      <c r="V11" s="44">
        <v>382</v>
      </c>
      <c r="W11" s="44">
        <v>396</v>
      </c>
      <c r="X11" s="44">
        <v>418</v>
      </c>
      <c r="Y11" s="44">
        <v>471</v>
      </c>
      <c r="Z11" s="44">
        <v>359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46</v>
      </c>
      <c r="J13" s="24">
        <v>282</v>
      </c>
      <c r="K13" s="24">
        <v>270</v>
      </c>
      <c r="L13" s="24">
        <v>275</v>
      </c>
      <c r="M13" s="24">
        <v>306</v>
      </c>
      <c r="N13" s="24">
        <v>344</v>
      </c>
      <c r="O13" s="24">
        <v>296</v>
      </c>
      <c r="P13" s="24">
        <v>299</v>
      </c>
      <c r="Q13" s="24">
        <v>277</v>
      </c>
      <c r="R13" s="24">
        <v>228</v>
      </c>
      <c r="S13" s="24">
        <v>381</v>
      </c>
      <c r="T13" s="24">
        <v>387</v>
      </c>
      <c r="U13" s="24">
        <v>302</v>
      </c>
      <c r="V13" s="24">
        <v>381</v>
      </c>
      <c r="W13" s="60">
        <v>395</v>
      </c>
      <c r="X13" s="60">
        <v>412</v>
      </c>
      <c r="Y13" s="24">
        <v>468</v>
      </c>
      <c r="Z13" s="24">
        <v>356</v>
      </c>
      <c r="AA13" s="119">
        <f>IFERROR(SUM(I13:Z13)/SUM(I14:Z14),0)</f>
        <v>0.99546326993543888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46</v>
      </c>
      <c r="J14" s="44">
        <v>283</v>
      </c>
      <c r="K14" s="44">
        <v>272</v>
      </c>
      <c r="L14" s="44">
        <v>275</v>
      </c>
      <c r="M14" s="44">
        <v>308</v>
      </c>
      <c r="N14" s="44">
        <v>344</v>
      </c>
      <c r="O14" s="44">
        <v>298</v>
      </c>
      <c r="P14" s="44">
        <v>300</v>
      </c>
      <c r="Q14" s="44">
        <v>278</v>
      </c>
      <c r="R14" s="44">
        <v>229</v>
      </c>
      <c r="S14" s="44">
        <v>382</v>
      </c>
      <c r="T14" s="44">
        <v>388</v>
      </c>
      <c r="U14" s="44">
        <v>302</v>
      </c>
      <c r="V14" s="44">
        <v>382</v>
      </c>
      <c r="W14" s="61">
        <v>396</v>
      </c>
      <c r="X14" s="61">
        <v>418</v>
      </c>
      <c r="Y14" s="44">
        <v>471</v>
      </c>
      <c r="Z14" s="44">
        <v>359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46</v>
      </c>
      <c r="J16" s="24">
        <v>283</v>
      </c>
      <c r="K16" s="24">
        <v>272</v>
      </c>
      <c r="L16" s="24">
        <v>275</v>
      </c>
      <c r="M16" s="24">
        <v>339</v>
      </c>
      <c r="N16" s="24">
        <v>344</v>
      </c>
      <c r="O16" s="24">
        <v>298</v>
      </c>
      <c r="P16" s="24">
        <v>300</v>
      </c>
      <c r="Q16" s="24">
        <v>278</v>
      </c>
      <c r="R16" s="24">
        <v>229</v>
      </c>
      <c r="S16" s="24">
        <v>382</v>
      </c>
      <c r="T16" s="24">
        <v>388</v>
      </c>
      <c r="U16" s="24">
        <v>302</v>
      </c>
      <c r="V16" s="24">
        <v>382</v>
      </c>
      <c r="W16" s="62">
        <v>396</v>
      </c>
      <c r="X16" s="62">
        <v>418</v>
      </c>
      <c r="Y16" s="24">
        <v>471</v>
      </c>
      <c r="Z16" s="24">
        <v>359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46</v>
      </c>
      <c r="J17" s="44">
        <v>283</v>
      </c>
      <c r="K17" s="44">
        <v>272</v>
      </c>
      <c r="L17" s="44">
        <v>275</v>
      </c>
      <c r="M17" s="44">
        <v>339</v>
      </c>
      <c r="N17" s="44">
        <v>344</v>
      </c>
      <c r="O17" s="44">
        <v>298</v>
      </c>
      <c r="P17" s="44">
        <v>300</v>
      </c>
      <c r="Q17" s="44">
        <v>278</v>
      </c>
      <c r="R17" s="44">
        <v>229</v>
      </c>
      <c r="S17" s="44">
        <v>382</v>
      </c>
      <c r="T17" s="44">
        <v>388</v>
      </c>
      <c r="U17" s="44">
        <v>302</v>
      </c>
      <c r="V17" s="44">
        <v>382</v>
      </c>
      <c r="W17" s="63">
        <v>396</v>
      </c>
      <c r="X17" s="63">
        <v>418</v>
      </c>
      <c r="Y17" s="44">
        <v>471</v>
      </c>
      <c r="Z17" s="44">
        <v>359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53</v>
      </c>
      <c r="J19" s="24">
        <v>236</v>
      </c>
      <c r="K19" s="24">
        <v>271</v>
      </c>
      <c r="L19" s="24">
        <v>286</v>
      </c>
      <c r="M19" s="24">
        <v>339</v>
      </c>
      <c r="N19" s="24">
        <v>255</v>
      </c>
      <c r="O19" s="24">
        <v>394</v>
      </c>
      <c r="P19" s="24">
        <v>240</v>
      </c>
      <c r="Q19" s="24">
        <v>294</v>
      </c>
      <c r="R19" s="24">
        <v>284</v>
      </c>
      <c r="S19" s="24">
        <v>247</v>
      </c>
      <c r="T19" s="24">
        <v>372</v>
      </c>
      <c r="U19" s="24">
        <v>237</v>
      </c>
      <c r="V19" s="24">
        <v>459</v>
      </c>
      <c r="W19" s="62">
        <v>373</v>
      </c>
      <c r="X19" s="62">
        <v>478</v>
      </c>
      <c r="Y19" s="24">
        <v>248</v>
      </c>
      <c r="Z19" s="24">
        <v>327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53</v>
      </c>
      <c r="J20" s="44">
        <v>236</v>
      </c>
      <c r="K20" s="44">
        <v>271</v>
      </c>
      <c r="L20" s="44">
        <v>286</v>
      </c>
      <c r="M20" s="44">
        <v>339</v>
      </c>
      <c r="N20" s="44">
        <v>255</v>
      </c>
      <c r="O20" s="44">
        <v>394</v>
      </c>
      <c r="P20" s="44">
        <v>240</v>
      </c>
      <c r="Q20" s="44">
        <v>294</v>
      </c>
      <c r="R20" s="44">
        <v>284</v>
      </c>
      <c r="S20" s="44">
        <v>247</v>
      </c>
      <c r="T20" s="44">
        <v>372</v>
      </c>
      <c r="U20" s="44">
        <v>237</v>
      </c>
      <c r="V20" s="44">
        <v>459</v>
      </c>
      <c r="W20" s="63">
        <v>373</v>
      </c>
      <c r="X20" s="63">
        <v>478</v>
      </c>
      <c r="Y20" s="44">
        <v>248</v>
      </c>
      <c r="Z20" s="44">
        <v>327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527</v>
      </c>
      <c r="J22" s="24">
        <v>504</v>
      </c>
      <c r="K22" s="24">
        <v>495</v>
      </c>
      <c r="L22" s="24">
        <v>514</v>
      </c>
      <c r="M22" s="24">
        <v>542</v>
      </c>
      <c r="N22" s="24">
        <v>520</v>
      </c>
      <c r="O22" s="24">
        <v>602</v>
      </c>
      <c r="P22" s="24">
        <v>532</v>
      </c>
      <c r="Q22" s="24">
        <v>526</v>
      </c>
      <c r="R22" s="24">
        <v>571</v>
      </c>
      <c r="S22" s="24">
        <v>497</v>
      </c>
      <c r="T22" s="24">
        <v>579</v>
      </c>
      <c r="U22" s="24">
        <v>508</v>
      </c>
      <c r="V22" s="24">
        <v>605</v>
      </c>
      <c r="W22" s="62">
        <v>595</v>
      </c>
      <c r="X22" s="62">
        <v>736</v>
      </c>
      <c r="Y22" s="24">
        <v>554</v>
      </c>
      <c r="Z22" s="24">
        <v>502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527</v>
      </c>
      <c r="J23" s="44">
        <v>504</v>
      </c>
      <c r="K23" s="44">
        <v>495</v>
      </c>
      <c r="L23" s="44">
        <v>514</v>
      </c>
      <c r="M23" s="44">
        <v>542</v>
      </c>
      <c r="N23" s="44">
        <v>520</v>
      </c>
      <c r="O23" s="44">
        <v>602</v>
      </c>
      <c r="P23" s="44">
        <v>532</v>
      </c>
      <c r="Q23" s="44">
        <v>526</v>
      </c>
      <c r="R23" s="44">
        <v>571</v>
      </c>
      <c r="S23" s="44">
        <v>497</v>
      </c>
      <c r="T23" s="44">
        <v>579</v>
      </c>
      <c r="U23" s="44">
        <v>508</v>
      </c>
      <c r="V23" s="44">
        <v>605</v>
      </c>
      <c r="W23" s="63">
        <v>595</v>
      </c>
      <c r="X23" s="63">
        <v>736</v>
      </c>
      <c r="Y23" s="44">
        <v>554</v>
      </c>
      <c r="Z23" s="44">
        <v>502</v>
      </c>
      <c r="AA23" s="119"/>
    </row>
    <row r="24" spans="1:39" s="4" customFormat="1" ht="8.2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63</v>
      </c>
      <c r="J25" s="24">
        <v>259</v>
      </c>
      <c r="K25" s="24">
        <v>272</v>
      </c>
      <c r="L25" s="24">
        <v>267</v>
      </c>
      <c r="M25" s="24">
        <v>311</v>
      </c>
      <c r="N25" s="24">
        <v>277</v>
      </c>
      <c r="O25" s="24">
        <v>312</v>
      </c>
      <c r="P25" s="24">
        <v>310</v>
      </c>
      <c r="Q25" s="24">
        <v>299</v>
      </c>
      <c r="R25" s="24">
        <v>239</v>
      </c>
      <c r="S25" s="24">
        <v>319</v>
      </c>
      <c r="T25" s="24">
        <v>290</v>
      </c>
      <c r="U25" s="24">
        <v>308</v>
      </c>
      <c r="V25" s="24">
        <v>362</v>
      </c>
      <c r="W25" s="62">
        <v>381</v>
      </c>
      <c r="X25" s="62">
        <v>337</v>
      </c>
      <c r="Y25" s="24">
        <v>430</v>
      </c>
      <c r="Z25" s="24">
        <v>379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63</v>
      </c>
      <c r="J26" s="44">
        <v>259</v>
      </c>
      <c r="K26" s="44">
        <v>272</v>
      </c>
      <c r="L26" s="44">
        <v>267</v>
      </c>
      <c r="M26" s="44">
        <v>311</v>
      </c>
      <c r="N26" s="44">
        <v>277</v>
      </c>
      <c r="O26" s="44">
        <v>312</v>
      </c>
      <c r="P26" s="44">
        <v>310</v>
      </c>
      <c r="Q26" s="44">
        <v>299</v>
      </c>
      <c r="R26" s="44">
        <v>239</v>
      </c>
      <c r="S26" s="44">
        <v>319</v>
      </c>
      <c r="T26" s="44">
        <v>290</v>
      </c>
      <c r="U26" s="44">
        <v>308</v>
      </c>
      <c r="V26" s="44">
        <v>362</v>
      </c>
      <c r="W26" s="63">
        <v>381</v>
      </c>
      <c r="X26" s="63">
        <v>337</v>
      </c>
      <c r="Y26" s="44">
        <v>430</v>
      </c>
      <c r="Z26" s="44">
        <v>379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G25:G26"/>
    <mergeCell ref="AA25:AA26"/>
    <mergeCell ref="A24:AA24"/>
    <mergeCell ref="A25:A26"/>
    <mergeCell ref="B25:B26"/>
    <mergeCell ref="C25:C26"/>
    <mergeCell ref="D25:D26"/>
    <mergeCell ref="E25:E26"/>
    <mergeCell ref="F25:F26"/>
    <mergeCell ref="E22:E23"/>
    <mergeCell ref="F19:F20"/>
    <mergeCell ref="G19:G20"/>
    <mergeCell ref="AA19:AA20"/>
    <mergeCell ref="A19:A20"/>
    <mergeCell ref="B19:B20"/>
    <mergeCell ref="C19:C20"/>
    <mergeCell ref="D19:D20"/>
    <mergeCell ref="E19:E20"/>
    <mergeCell ref="F22:F23"/>
    <mergeCell ref="G22:G23"/>
    <mergeCell ref="AA22:AA23"/>
    <mergeCell ref="A22:A23"/>
    <mergeCell ref="B22:B23"/>
    <mergeCell ref="C22:C23"/>
    <mergeCell ref="D22:D23"/>
    <mergeCell ref="F16:F17"/>
    <mergeCell ref="G16:G17"/>
    <mergeCell ref="AA16:AA17"/>
    <mergeCell ref="A18:AA18"/>
    <mergeCell ref="A16:A17"/>
    <mergeCell ref="B16:B17"/>
    <mergeCell ref="C16:C17"/>
    <mergeCell ref="D16:D17"/>
    <mergeCell ref="E16:E17"/>
    <mergeCell ref="F13:F14"/>
    <mergeCell ref="G13:G14"/>
    <mergeCell ref="AA13:AA14"/>
    <mergeCell ref="A15:AA15"/>
    <mergeCell ref="A13:A14"/>
    <mergeCell ref="B13:B14"/>
    <mergeCell ref="C13:C14"/>
    <mergeCell ref="D13:D14"/>
    <mergeCell ref="E13:E14"/>
    <mergeCell ref="F10:F11"/>
    <mergeCell ref="G10:G11"/>
    <mergeCell ref="AA10:AA11"/>
    <mergeCell ref="A12:AA12"/>
    <mergeCell ref="A10:A11"/>
    <mergeCell ref="B10:B11"/>
    <mergeCell ref="C10:C11"/>
    <mergeCell ref="D10:D11"/>
    <mergeCell ref="E10:E11"/>
    <mergeCell ref="A1:AA1"/>
    <mergeCell ref="F2:G2"/>
    <mergeCell ref="W2:AA2"/>
    <mergeCell ref="A4:AA4"/>
    <mergeCell ref="A5:AA5"/>
    <mergeCell ref="A6:A9"/>
    <mergeCell ref="B6:H6"/>
    <mergeCell ref="I6:Z6"/>
    <mergeCell ref="AA6:AA9"/>
    <mergeCell ref="B7:D7"/>
    <mergeCell ref="E7:H7"/>
    <mergeCell ref="I7:Z7"/>
    <mergeCell ref="B8:Z8"/>
    <mergeCell ref="I29:L29"/>
    <mergeCell ref="B34:M34"/>
    <mergeCell ref="B35:G35"/>
    <mergeCell ref="H35:M35"/>
    <mergeCell ref="B36:G37"/>
    <mergeCell ref="H36:M37"/>
  </mergeCells>
  <conditionalFormatting sqref="I21:Z21">
    <cfRule type="colorScale" priority="3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612" priority="18" operator="greaterThan">
      <formula>95%</formula>
    </cfRule>
    <cfRule type="cellIs" dxfId="611" priority="19" operator="greaterThanOrEqual">
      <formula>90%</formula>
    </cfRule>
    <cfRule type="cellIs" dxfId="610" priority="20" operator="lessThan">
      <formula>89.99%</formula>
    </cfRule>
  </conditionalFormatting>
  <conditionalFormatting sqref="AA13">
    <cfRule type="cellIs" dxfId="609" priority="15" operator="greaterThan">
      <formula>95%</formula>
    </cfRule>
    <cfRule type="cellIs" dxfId="608" priority="16" operator="greaterThanOrEqual">
      <formula>90%</formula>
    </cfRule>
    <cfRule type="cellIs" dxfId="607" priority="17" operator="lessThan">
      <formula>89.99%</formula>
    </cfRule>
  </conditionalFormatting>
  <conditionalFormatting sqref="AA16">
    <cfRule type="cellIs" dxfId="606" priority="12" operator="greaterThan">
      <formula>95%</formula>
    </cfRule>
    <cfRule type="cellIs" dxfId="605" priority="13" operator="greaterThanOrEqual">
      <formula>90%</formula>
    </cfRule>
    <cfRule type="cellIs" dxfId="604" priority="14" operator="lessThan">
      <formula>89.99%</formula>
    </cfRule>
  </conditionalFormatting>
  <conditionalFormatting sqref="AA19">
    <cfRule type="cellIs" dxfId="603" priority="9" operator="greaterThan">
      <formula>95%</formula>
    </cfRule>
    <cfRule type="cellIs" dxfId="602" priority="10" operator="greaterThanOrEqual">
      <formula>90%</formula>
    </cfRule>
    <cfRule type="cellIs" dxfId="601" priority="11" operator="lessThan">
      <formula>89.99%</formula>
    </cfRule>
  </conditionalFormatting>
  <conditionalFormatting sqref="AA22">
    <cfRule type="cellIs" dxfId="600" priority="1" operator="greaterThanOrEqual">
      <formula>100%</formula>
    </cfRule>
    <cfRule type="cellIs" dxfId="599" priority="2" operator="lessThan">
      <formula>99.99%</formula>
    </cfRule>
  </conditionalFormatting>
  <conditionalFormatting sqref="AA25">
    <cfRule type="cellIs" dxfId="598" priority="3" operator="greaterThan">
      <formula>95%</formula>
    </cfRule>
    <cfRule type="cellIs" dxfId="597" priority="4" operator="greaterThanOrEqual">
      <formula>90%</formula>
    </cfRule>
    <cfRule type="cellIs" dxfId="596" priority="5" operator="lessThan">
      <formula>89.99%</formula>
    </cfRule>
  </conditionalFormatting>
  <dataValidations disablePrompts="1" count="1">
    <dataValidation showDropDown="1" showInputMessage="1" showErrorMessage="1" sqref="C21 G19:G23 G10:G11 G16:G17 G13:G14 G25:G26" xr:uid="{4A326E32-AEC1-499B-A67E-4779949CA484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69C2"/>
  </sheetPr>
  <dimension ref="A1:AM38"/>
  <sheetViews>
    <sheetView showGridLines="0" topLeftCell="A7" zoomScale="64" zoomScaleNormal="64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2</v>
      </c>
      <c r="F2" s="129" t="s">
        <v>25</v>
      </c>
      <c r="G2" s="129"/>
      <c r="H2" s="22">
        <v>160256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52</v>
      </c>
      <c r="J10" s="24">
        <v>352</v>
      </c>
      <c r="K10" s="24">
        <v>397</v>
      </c>
      <c r="L10" s="24">
        <v>404</v>
      </c>
      <c r="M10" s="24">
        <v>409</v>
      </c>
      <c r="N10" s="24">
        <v>434</v>
      </c>
      <c r="O10" s="24">
        <v>470</v>
      </c>
      <c r="P10" s="24">
        <v>431</v>
      </c>
      <c r="Q10" s="24">
        <v>396</v>
      </c>
      <c r="R10" s="24">
        <v>316</v>
      </c>
      <c r="S10" s="24">
        <v>536</v>
      </c>
      <c r="T10" s="24">
        <v>543</v>
      </c>
      <c r="U10" s="24">
        <v>453</v>
      </c>
      <c r="V10" s="24">
        <v>636</v>
      </c>
      <c r="W10" s="62">
        <v>583</v>
      </c>
      <c r="X10" s="62">
        <v>552</v>
      </c>
      <c r="Y10" s="24">
        <v>624</v>
      </c>
      <c r="Z10" s="24">
        <v>492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52</v>
      </c>
      <c r="J11" s="44">
        <v>352</v>
      </c>
      <c r="K11" s="44">
        <v>397</v>
      </c>
      <c r="L11" s="44">
        <v>404</v>
      </c>
      <c r="M11" s="44">
        <v>409</v>
      </c>
      <c r="N11" s="44">
        <v>434</v>
      </c>
      <c r="O11" s="44">
        <v>470</v>
      </c>
      <c r="P11" s="44">
        <v>431</v>
      </c>
      <c r="Q11" s="44">
        <v>396</v>
      </c>
      <c r="R11" s="44">
        <v>316</v>
      </c>
      <c r="S11" s="44">
        <v>536</v>
      </c>
      <c r="T11" s="44">
        <v>543</v>
      </c>
      <c r="U11" s="44">
        <v>453</v>
      </c>
      <c r="V11" s="44">
        <v>636</v>
      </c>
      <c r="W11" s="63">
        <v>583</v>
      </c>
      <c r="X11" s="63">
        <v>552</v>
      </c>
      <c r="Y11" s="44">
        <v>624</v>
      </c>
      <c r="Z11" s="44">
        <v>492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51</v>
      </c>
      <c r="J13" s="24">
        <v>351</v>
      </c>
      <c r="K13" s="24">
        <v>395</v>
      </c>
      <c r="L13" s="24">
        <v>403</v>
      </c>
      <c r="M13" s="24">
        <v>407</v>
      </c>
      <c r="N13" s="24">
        <v>432</v>
      </c>
      <c r="O13" s="24">
        <v>470</v>
      </c>
      <c r="P13" s="24">
        <v>430</v>
      </c>
      <c r="Q13" s="24">
        <v>396</v>
      </c>
      <c r="R13" s="24">
        <v>315</v>
      </c>
      <c r="S13" s="24">
        <v>532</v>
      </c>
      <c r="T13" s="24">
        <v>540</v>
      </c>
      <c r="U13" s="24">
        <v>451</v>
      </c>
      <c r="V13" s="24">
        <v>634</v>
      </c>
      <c r="W13" s="62">
        <v>583</v>
      </c>
      <c r="X13" s="62">
        <v>550</v>
      </c>
      <c r="Y13" s="24">
        <v>614</v>
      </c>
      <c r="Z13" s="24">
        <v>481</v>
      </c>
      <c r="AA13" s="119">
        <f>IFERROR(SUM(I13:Z13)/SUM(I14:Z14),0)</f>
        <v>0.99443069306930698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52</v>
      </c>
      <c r="J14" s="44">
        <v>352</v>
      </c>
      <c r="K14" s="44">
        <v>397</v>
      </c>
      <c r="L14" s="44">
        <v>404</v>
      </c>
      <c r="M14" s="44">
        <v>409</v>
      </c>
      <c r="N14" s="44">
        <v>434</v>
      </c>
      <c r="O14" s="44">
        <v>470</v>
      </c>
      <c r="P14" s="44">
        <v>431</v>
      </c>
      <c r="Q14" s="44">
        <v>396</v>
      </c>
      <c r="R14" s="44">
        <v>316</v>
      </c>
      <c r="S14" s="44">
        <v>536</v>
      </c>
      <c r="T14" s="44">
        <v>543</v>
      </c>
      <c r="U14" s="44">
        <v>453</v>
      </c>
      <c r="V14" s="44">
        <v>636</v>
      </c>
      <c r="W14" s="63">
        <v>583</v>
      </c>
      <c r="X14" s="63">
        <v>552</v>
      </c>
      <c r="Y14" s="44">
        <v>624</v>
      </c>
      <c r="Z14" s="44">
        <v>492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52</v>
      </c>
      <c r="J16" s="24">
        <v>352</v>
      </c>
      <c r="K16" s="24">
        <v>397</v>
      </c>
      <c r="L16" s="24">
        <v>404</v>
      </c>
      <c r="M16" s="24">
        <v>409</v>
      </c>
      <c r="N16" s="24">
        <v>434</v>
      </c>
      <c r="O16" s="24">
        <v>470</v>
      </c>
      <c r="P16" s="24">
        <v>431</v>
      </c>
      <c r="Q16" s="24">
        <v>396</v>
      </c>
      <c r="R16" s="24">
        <v>316</v>
      </c>
      <c r="S16" s="24">
        <v>536</v>
      </c>
      <c r="T16" s="24">
        <v>543</v>
      </c>
      <c r="U16" s="24">
        <v>453</v>
      </c>
      <c r="V16" s="24">
        <v>636</v>
      </c>
      <c r="W16" s="62">
        <v>583</v>
      </c>
      <c r="X16" s="62">
        <v>552</v>
      </c>
      <c r="Y16" s="24">
        <v>624</v>
      </c>
      <c r="Z16" s="24">
        <v>492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52</v>
      </c>
      <c r="J17" s="44">
        <v>352</v>
      </c>
      <c r="K17" s="44">
        <v>397</v>
      </c>
      <c r="L17" s="44">
        <v>404</v>
      </c>
      <c r="M17" s="44">
        <v>409</v>
      </c>
      <c r="N17" s="44">
        <v>434</v>
      </c>
      <c r="O17" s="44">
        <v>470</v>
      </c>
      <c r="P17" s="44">
        <v>431</v>
      </c>
      <c r="Q17" s="44">
        <v>396</v>
      </c>
      <c r="R17" s="44">
        <v>316</v>
      </c>
      <c r="S17" s="44">
        <v>536</v>
      </c>
      <c r="T17" s="44">
        <v>543</v>
      </c>
      <c r="U17" s="44">
        <v>453</v>
      </c>
      <c r="V17" s="44">
        <v>636</v>
      </c>
      <c r="W17" s="63">
        <v>583</v>
      </c>
      <c r="X17" s="63">
        <v>552</v>
      </c>
      <c r="Y17" s="44">
        <v>624</v>
      </c>
      <c r="Z17" s="44">
        <v>492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0</v>
      </c>
      <c r="J19" s="24">
        <v>489</v>
      </c>
      <c r="K19" s="24">
        <v>271</v>
      </c>
      <c r="L19" s="24">
        <v>493</v>
      </c>
      <c r="M19" s="24">
        <v>400</v>
      </c>
      <c r="N19" s="24">
        <v>436</v>
      </c>
      <c r="O19" s="24">
        <v>479</v>
      </c>
      <c r="P19" s="24">
        <v>430</v>
      </c>
      <c r="Q19" s="24">
        <v>389</v>
      </c>
      <c r="R19" s="24">
        <v>242</v>
      </c>
      <c r="S19" s="24">
        <v>535</v>
      </c>
      <c r="T19" s="24">
        <v>433</v>
      </c>
      <c r="U19" s="24">
        <v>330</v>
      </c>
      <c r="V19" s="24">
        <v>689</v>
      </c>
      <c r="W19" s="62">
        <v>620</v>
      </c>
      <c r="X19" s="62">
        <v>449</v>
      </c>
      <c r="Y19" s="24">
        <v>560</v>
      </c>
      <c r="Z19" s="24">
        <v>388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0</v>
      </c>
      <c r="J20" s="44">
        <v>489</v>
      </c>
      <c r="K20" s="44">
        <v>271</v>
      </c>
      <c r="L20" s="44">
        <v>493</v>
      </c>
      <c r="M20" s="44">
        <v>400</v>
      </c>
      <c r="N20" s="44">
        <v>436</v>
      </c>
      <c r="O20" s="44">
        <v>479</v>
      </c>
      <c r="P20" s="44">
        <v>430</v>
      </c>
      <c r="Q20" s="44">
        <v>389</v>
      </c>
      <c r="R20" s="44">
        <v>242</v>
      </c>
      <c r="S20" s="44">
        <v>535</v>
      </c>
      <c r="T20" s="44">
        <v>433</v>
      </c>
      <c r="U20" s="44">
        <v>330</v>
      </c>
      <c r="V20" s="44">
        <v>689</v>
      </c>
      <c r="W20" s="63">
        <v>620</v>
      </c>
      <c r="X20" s="63">
        <v>449</v>
      </c>
      <c r="Y20" s="44">
        <v>560</v>
      </c>
      <c r="Z20" s="44">
        <v>388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813</v>
      </c>
      <c r="J22" s="24">
        <v>878</v>
      </c>
      <c r="K22" s="24">
        <v>792</v>
      </c>
      <c r="L22" s="24">
        <v>853</v>
      </c>
      <c r="M22" s="24">
        <v>840</v>
      </c>
      <c r="N22" s="24">
        <v>879</v>
      </c>
      <c r="O22" s="24">
        <v>935</v>
      </c>
      <c r="P22" s="24">
        <v>884</v>
      </c>
      <c r="Q22" s="24">
        <v>812</v>
      </c>
      <c r="R22" s="24">
        <v>798</v>
      </c>
      <c r="S22" s="24">
        <v>855</v>
      </c>
      <c r="T22" s="24">
        <v>881</v>
      </c>
      <c r="U22" s="24">
        <v>696</v>
      </c>
      <c r="V22" s="24">
        <v>923</v>
      </c>
      <c r="W22" s="62">
        <v>964</v>
      </c>
      <c r="X22" s="62">
        <v>806</v>
      </c>
      <c r="Y22" s="24">
        <v>835</v>
      </c>
      <c r="Z22" s="24">
        <v>658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813</v>
      </c>
      <c r="J23" s="44">
        <v>878</v>
      </c>
      <c r="K23" s="44">
        <v>792</v>
      </c>
      <c r="L23" s="44">
        <v>853</v>
      </c>
      <c r="M23" s="44">
        <v>840</v>
      </c>
      <c r="N23" s="44">
        <v>879</v>
      </c>
      <c r="O23" s="44">
        <v>935</v>
      </c>
      <c r="P23" s="44">
        <v>884</v>
      </c>
      <c r="Q23" s="44">
        <v>812</v>
      </c>
      <c r="R23" s="44">
        <v>798</v>
      </c>
      <c r="S23" s="44">
        <v>855</v>
      </c>
      <c r="T23" s="44">
        <v>881</v>
      </c>
      <c r="U23" s="44">
        <v>696</v>
      </c>
      <c r="V23" s="44">
        <v>923</v>
      </c>
      <c r="W23" s="63">
        <v>964</v>
      </c>
      <c r="X23" s="63">
        <v>806</v>
      </c>
      <c r="Y23" s="44">
        <v>835</v>
      </c>
      <c r="Z23" s="44">
        <v>658</v>
      </c>
      <c r="AA23" s="119"/>
    </row>
    <row r="24" spans="1:39" s="4" customFormat="1" ht="9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111</v>
      </c>
      <c r="J25" s="24">
        <v>424</v>
      </c>
      <c r="K25" s="24">
        <v>340</v>
      </c>
      <c r="L25" s="24">
        <v>432</v>
      </c>
      <c r="M25" s="24">
        <v>397</v>
      </c>
      <c r="N25" s="24">
        <v>387</v>
      </c>
      <c r="O25" s="24">
        <v>422</v>
      </c>
      <c r="P25" s="24">
        <v>481</v>
      </c>
      <c r="Q25" s="24">
        <v>461</v>
      </c>
      <c r="R25" s="24">
        <v>256</v>
      </c>
      <c r="S25" s="24">
        <v>471</v>
      </c>
      <c r="T25" s="24">
        <v>407</v>
      </c>
      <c r="U25" s="24">
        <v>515</v>
      </c>
      <c r="V25" s="24">
        <v>461</v>
      </c>
      <c r="W25" s="62">
        <v>575</v>
      </c>
      <c r="X25" s="62">
        <v>607</v>
      </c>
      <c r="Y25" s="24">
        <v>531</v>
      </c>
      <c r="Z25" s="24">
        <v>565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111</v>
      </c>
      <c r="J26" s="44">
        <v>424</v>
      </c>
      <c r="K26" s="44">
        <v>340</v>
      </c>
      <c r="L26" s="44">
        <v>432</v>
      </c>
      <c r="M26" s="44">
        <v>397</v>
      </c>
      <c r="N26" s="44">
        <v>387</v>
      </c>
      <c r="O26" s="44">
        <v>422</v>
      </c>
      <c r="P26" s="44">
        <v>481</v>
      </c>
      <c r="Q26" s="44">
        <v>461</v>
      </c>
      <c r="R26" s="44">
        <v>256</v>
      </c>
      <c r="S26" s="44">
        <v>471</v>
      </c>
      <c r="T26" s="44">
        <v>407</v>
      </c>
      <c r="U26" s="44">
        <v>515</v>
      </c>
      <c r="V26" s="44">
        <v>461</v>
      </c>
      <c r="W26" s="63">
        <v>575</v>
      </c>
      <c r="X26" s="63">
        <v>607</v>
      </c>
      <c r="Y26" s="44">
        <v>531</v>
      </c>
      <c r="Z26" s="44">
        <v>565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G25:G26"/>
    <mergeCell ref="AA25:AA26"/>
    <mergeCell ref="A24:AA24"/>
    <mergeCell ref="A25:A26"/>
    <mergeCell ref="B25:B26"/>
    <mergeCell ref="C25:C26"/>
    <mergeCell ref="D25:D26"/>
    <mergeCell ref="E25:E26"/>
    <mergeCell ref="F25:F26"/>
    <mergeCell ref="E22:E23"/>
    <mergeCell ref="F19:F20"/>
    <mergeCell ref="G19:G20"/>
    <mergeCell ref="AA19:AA20"/>
    <mergeCell ref="A19:A20"/>
    <mergeCell ref="B19:B20"/>
    <mergeCell ref="C19:C20"/>
    <mergeCell ref="D19:D20"/>
    <mergeCell ref="E19:E20"/>
    <mergeCell ref="F22:F23"/>
    <mergeCell ref="G22:G23"/>
    <mergeCell ref="AA22:AA23"/>
    <mergeCell ref="A22:A23"/>
    <mergeCell ref="B22:B23"/>
    <mergeCell ref="C22:C23"/>
    <mergeCell ref="D22:D23"/>
    <mergeCell ref="F16:F17"/>
    <mergeCell ref="G16:G17"/>
    <mergeCell ref="AA16:AA17"/>
    <mergeCell ref="A18:AA18"/>
    <mergeCell ref="A16:A17"/>
    <mergeCell ref="B16:B17"/>
    <mergeCell ref="C16:C17"/>
    <mergeCell ref="D16:D17"/>
    <mergeCell ref="E16:E17"/>
    <mergeCell ref="F13:F14"/>
    <mergeCell ref="G13:G14"/>
    <mergeCell ref="AA13:AA14"/>
    <mergeCell ref="A15:AA15"/>
    <mergeCell ref="A13:A14"/>
    <mergeCell ref="B13:B14"/>
    <mergeCell ref="C13:C14"/>
    <mergeCell ref="D13:D14"/>
    <mergeCell ref="E13:E14"/>
    <mergeCell ref="F10:F11"/>
    <mergeCell ref="G10:G11"/>
    <mergeCell ref="AA10:AA11"/>
    <mergeCell ref="A12:AA12"/>
    <mergeCell ref="A10:A11"/>
    <mergeCell ref="B10:B11"/>
    <mergeCell ref="C10:C11"/>
    <mergeCell ref="D10:D11"/>
    <mergeCell ref="E10:E11"/>
    <mergeCell ref="A1:AA1"/>
    <mergeCell ref="F2:G2"/>
    <mergeCell ref="W2:AA2"/>
    <mergeCell ref="A4:AA4"/>
    <mergeCell ref="A5:AA5"/>
    <mergeCell ref="A6:A9"/>
    <mergeCell ref="B6:H6"/>
    <mergeCell ref="I6:Z6"/>
    <mergeCell ref="AA6:AA9"/>
    <mergeCell ref="B7:D7"/>
    <mergeCell ref="E7:H7"/>
    <mergeCell ref="I7:Z7"/>
    <mergeCell ref="B8:Z8"/>
    <mergeCell ref="I29:L29"/>
    <mergeCell ref="B34:M34"/>
    <mergeCell ref="B35:G35"/>
    <mergeCell ref="H35:M35"/>
    <mergeCell ref="B36:G37"/>
    <mergeCell ref="H36:M37"/>
  </mergeCells>
  <conditionalFormatting sqref="I21:Z21">
    <cfRule type="colorScale" priority="3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595" priority="18" operator="greaterThan">
      <formula>95%</formula>
    </cfRule>
    <cfRule type="cellIs" dxfId="594" priority="19" operator="greaterThanOrEqual">
      <formula>90%</formula>
    </cfRule>
    <cfRule type="cellIs" dxfId="593" priority="20" operator="lessThan">
      <formula>89.99%</formula>
    </cfRule>
  </conditionalFormatting>
  <conditionalFormatting sqref="AA13">
    <cfRule type="cellIs" dxfId="592" priority="15" operator="greaterThan">
      <formula>95%</formula>
    </cfRule>
    <cfRule type="cellIs" dxfId="591" priority="16" operator="greaterThanOrEqual">
      <formula>90%</formula>
    </cfRule>
    <cfRule type="cellIs" dxfId="590" priority="17" operator="lessThan">
      <formula>89.99%</formula>
    </cfRule>
  </conditionalFormatting>
  <conditionalFormatting sqref="AA16">
    <cfRule type="cellIs" dxfId="589" priority="12" operator="greaterThan">
      <formula>95%</formula>
    </cfRule>
    <cfRule type="cellIs" dxfId="588" priority="13" operator="greaterThanOrEqual">
      <formula>90%</formula>
    </cfRule>
    <cfRule type="cellIs" dxfId="587" priority="14" operator="lessThan">
      <formula>89.99%</formula>
    </cfRule>
  </conditionalFormatting>
  <conditionalFormatting sqref="AA19">
    <cfRule type="cellIs" dxfId="586" priority="9" operator="greaterThan">
      <formula>95%</formula>
    </cfRule>
    <cfRule type="cellIs" dxfId="585" priority="10" operator="greaterThanOrEqual">
      <formula>90%</formula>
    </cfRule>
    <cfRule type="cellIs" dxfId="584" priority="11" operator="lessThan">
      <formula>89.99%</formula>
    </cfRule>
  </conditionalFormatting>
  <conditionalFormatting sqref="AA22">
    <cfRule type="cellIs" dxfId="583" priority="1" operator="greaterThanOrEqual">
      <formula>100%</formula>
    </cfRule>
    <cfRule type="cellIs" dxfId="582" priority="2" operator="lessThan">
      <formula>99.99%</formula>
    </cfRule>
  </conditionalFormatting>
  <conditionalFormatting sqref="AA25">
    <cfRule type="cellIs" dxfId="581" priority="3" operator="greaterThan">
      <formula>95%</formula>
    </cfRule>
    <cfRule type="cellIs" dxfId="580" priority="4" operator="greaterThanOrEqual">
      <formula>90%</formula>
    </cfRule>
    <cfRule type="cellIs" dxfId="579" priority="5" operator="lessThan">
      <formula>89.99%</formula>
    </cfRule>
  </conditionalFormatting>
  <dataValidations disablePrompts="1" count="1">
    <dataValidation showDropDown="1" showInputMessage="1" showErrorMessage="1" sqref="C21 G19:G23 G10:G11 G16:G17 G13:G14 G25:G26" xr:uid="{136CE508-E0CF-4C3C-AE02-985D26E223F1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69C2"/>
  </sheetPr>
  <dimension ref="A1:AM38"/>
  <sheetViews>
    <sheetView showGridLines="0" topLeftCell="A7" zoomScale="68" zoomScaleNormal="68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2</v>
      </c>
      <c r="F2" s="129" t="s">
        <v>25</v>
      </c>
      <c r="G2" s="129"/>
      <c r="H2" s="22">
        <v>160257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12</v>
      </c>
      <c r="J10" s="24">
        <v>144</v>
      </c>
      <c r="K10" s="24">
        <v>96</v>
      </c>
      <c r="L10" s="24">
        <v>105</v>
      </c>
      <c r="M10" s="24">
        <v>164</v>
      </c>
      <c r="N10" s="24">
        <v>141</v>
      </c>
      <c r="O10" s="24">
        <v>58</v>
      </c>
      <c r="P10" s="24">
        <v>129</v>
      </c>
      <c r="Q10" s="24">
        <v>181</v>
      </c>
      <c r="R10" s="24">
        <v>118</v>
      </c>
      <c r="S10" s="24">
        <v>126</v>
      </c>
      <c r="T10" s="24">
        <v>176</v>
      </c>
      <c r="U10" s="24">
        <v>144</v>
      </c>
      <c r="V10" s="24">
        <v>137</v>
      </c>
      <c r="W10" s="62">
        <v>222</v>
      </c>
      <c r="X10" s="62">
        <v>165</v>
      </c>
      <c r="Y10" s="24">
        <v>118</v>
      </c>
      <c r="Z10" s="24">
        <v>140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12</v>
      </c>
      <c r="J11" s="44">
        <v>144</v>
      </c>
      <c r="K11" s="44">
        <v>96</v>
      </c>
      <c r="L11" s="44">
        <v>105</v>
      </c>
      <c r="M11" s="44">
        <v>164</v>
      </c>
      <c r="N11" s="44">
        <v>141</v>
      </c>
      <c r="O11" s="44">
        <v>58</v>
      </c>
      <c r="P11" s="44">
        <v>129</v>
      </c>
      <c r="Q11" s="44">
        <v>181</v>
      </c>
      <c r="R11" s="44">
        <v>118</v>
      </c>
      <c r="S11" s="44">
        <v>126</v>
      </c>
      <c r="T11" s="44">
        <v>176</v>
      </c>
      <c r="U11" s="44">
        <v>144</v>
      </c>
      <c r="V11" s="44">
        <v>137</v>
      </c>
      <c r="W11" s="63">
        <v>222</v>
      </c>
      <c r="X11" s="63">
        <v>165</v>
      </c>
      <c r="Y11" s="44">
        <v>118</v>
      </c>
      <c r="Z11" s="44">
        <v>140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12</v>
      </c>
      <c r="J13" s="24">
        <v>144</v>
      </c>
      <c r="K13" s="24">
        <v>96</v>
      </c>
      <c r="L13" s="24">
        <v>104</v>
      </c>
      <c r="M13" s="24">
        <v>164</v>
      </c>
      <c r="N13" s="24">
        <v>141</v>
      </c>
      <c r="O13" s="24">
        <v>57</v>
      </c>
      <c r="P13" s="24">
        <v>128</v>
      </c>
      <c r="Q13" s="24">
        <v>178</v>
      </c>
      <c r="R13" s="24">
        <v>118</v>
      </c>
      <c r="S13" s="24">
        <v>126</v>
      </c>
      <c r="T13" s="24">
        <v>173</v>
      </c>
      <c r="U13" s="24">
        <v>143</v>
      </c>
      <c r="V13" s="24">
        <v>135</v>
      </c>
      <c r="W13" s="62">
        <v>220</v>
      </c>
      <c r="X13" s="62">
        <v>164</v>
      </c>
      <c r="Y13" s="24">
        <v>117</v>
      </c>
      <c r="Z13" s="24">
        <v>132</v>
      </c>
      <c r="AA13" s="119">
        <f>IFERROR(SUM(I13:Z13)/SUM(I14:Z14),0)</f>
        <v>0.98989898989898994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12</v>
      </c>
      <c r="J14" s="44">
        <v>144</v>
      </c>
      <c r="K14" s="44">
        <v>96</v>
      </c>
      <c r="L14" s="44">
        <v>105</v>
      </c>
      <c r="M14" s="44">
        <v>164</v>
      </c>
      <c r="N14" s="44">
        <v>141</v>
      </c>
      <c r="O14" s="44">
        <v>58</v>
      </c>
      <c r="P14" s="44">
        <v>129</v>
      </c>
      <c r="Q14" s="44">
        <v>181</v>
      </c>
      <c r="R14" s="44">
        <v>118</v>
      </c>
      <c r="S14" s="44">
        <v>126</v>
      </c>
      <c r="T14" s="44">
        <v>176</v>
      </c>
      <c r="U14" s="44">
        <v>144</v>
      </c>
      <c r="V14" s="44">
        <v>137</v>
      </c>
      <c r="W14" s="63">
        <v>222</v>
      </c>
      <c r="X14" s="63">
        <v>165</v>
      </c>
      <c r="Y14" s="44">
        <v>118</v>
      </c>
      <c r="Z14" s="44">
        <v>140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12</v>
      </c>
      <c r="J16" s="24">
        <v>144</v>
      </c>
      <c r="K16" s="24">
        <v>96</v>
      </c>
      <c r="L16" s="24">
        <v>105</v>
      </c>
      <c r="M16" s="24">
        <v>164</v>
      </c>
      <c r="N16" s="24">
        <v>141</v>
      </c>
      <c r="O16" s="24">
        <v>58</v>
      </c>
      <c r="P16" s="24">
        <v>129</v>
      </c>
      <c r="Q16" s="24">
        <v>181</v>
      </c>
      <c r="R16" s="24">
        <v>118</v>
      </c>
      <c r="S16" s="24">
        <v>126</v>
      </c>
      <c r="T16" s="24">
        <v>176</v>
      </c>
      <c r="U16" s="24">
        <v>144</v>
      </c>
      <c r="V16" s="24">
        <v>137</v>
      </c>
      <c r="W16" s="62">
        <v>222</v>
      </c>
      <c r="X16" s="62">
        <v>165</v>
      </c>
      <c r="Y16" s="24">
        <v>118</v>
      </c>
      <c r="Z16" s="24">
        <v>140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12</v>
      </c>
      <c r="J17" s="44">
        <v>144</v>
      </c>
      <c r="K17" s="44">
        <v>96</v>
      </c>
      <c r="L17" s="44">
        <v>105</v>
      </c>
      <c r="M17" s="44">
        <v>164</v>
      </c>
      <c r="N17" s="44">
        <v>141</v>
      </c>
      <c r="O17" s="44">
        <v>58</v>
      </c>
      <c r="P17" s="44">
        <v>129</v>
      </c>
      <c r="Q17" s="44">
        <v>181</v>
      </c>
      <c r="R17" s="44">
        <v>118</v>
      </c>
      <c r="S17" s="44">
        <v>126</v>
      </c>
      <c r="T17" s="44">
        <v>176</v>
      </c>
      <c r="U17" s="44">
        <v>144</v>
      </c>
      <c r="V17" s="44">
        <v>137</v>
      </c>
      <c r="W17" s="63">
        <v>222</v>
      </c>
      <c r="X17" s="63">
        <v>165</v>
      </c>
      <c r="Y17" s="44">
        <v>118</v>
      </c>
      <c r="Z17" s="44">
        <v>140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11</v>
      </c>
      <c r="J19" s="24">
        <v>132</v>
      </c>
      <c r="K19" s="24">
        <v>104</v>
      </c>
      <c r="L19" s="24">
        <v>94</v>
      </c>
      <c r="M19" s="24">
        <v>105</v>
      </c>
      <c r="N19" s="24">
        <v>209</v>
      </c>
      <c r="O19" s="24">
        <v>95</v>
      </c>
      <c r="P19" s="24">
        <v>61</v>
      </c>
      <c r="Q19" s="24">
        <v>175</v>
      </c>
      <c r="R19" s="24">
        <v>84</v>
      </c>
      <c r="S19" s="24">
        <v>159</v>
      </c>
      <c r="T19" s="24">
        <v>149</v>
      </c>
      <c r="U19" s="24">
        <v>61</v>
      </c>
      <c r="V19" s="24">
        <v>236</v>
      </c>
      <c r="W19" s="62">
        <v>133</v>
      </c>
      <c r="X19" s="62">
        <v>164</v>
      </c>
      <c r="Y19" s="24">
        <v>218</v>
      </c>
      <c r="Z19" s="24">
        <v>83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11</v>
      </c>
      <c r="J20" s="44">
        <v>132</v>
      </c>
      <c r="K20" s="44">
        <v>104</v>
      </c>
      <c r="L20" s="44">
        <v>94</v>
      </c>
      <c r="M20" s="44">
        <v>105</v>
      </c>
      <c r="N20" s="44">
        <v>209</v>
      </c>
      <c r="O20" s="44">
        <v>95</v>
      </c>
      <c r="P20" s="44">
        <v>61</v>
      </c>
      <c r="Q20" s="44">
        <v>175</v>
      </c>
      <c r="R20" s="44">
        <v>84</v>
      </c>
      <c r="S20" s="44">
        <v>159</v>
      </c>
      <c r="T20" s="44">
        <v>149</v>
      </c>
      <c r="U20" s="44">
        <v>61</v>
      </c>
      <c r="V20" s="44">
        <v>236</v>
      </c>
      <c r="W20" s="63">
        <v>133</v>
      </c>
      <c r="X20" s="63">
        <v>164</v>
      </c>
      <c r="Y20" s="44">
        <v>218</v>
      </c>
      <c r="Z20" s="44">
        <v>83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427</v>
      </c>
      <c r="J22" s="24">
        <v>398</v>
      </c>
      <c r="K22" s="24">
        <v>417</v>
      </c>
      <c r="L22" s="24">
        <v>435</v>
      </c>
      <c r="M22" s="24">
        <v>424</v>
      </c>
      <c r="N22" s="24">
        <v>488</v>
      </c>
      <c r="O22" s="24">
        <v>544</v>
      </c>
      <c r="P22" s="24">
        <v>466</v>
      </c>
      <c r="Q22" s="24">
        <v>451</v>
      </c>
      <c r="R22" s="24">
        <v>456</v>
      </c>
      <c r="S22" s="24">
        <v>457</v>
      </c>
      <c r="T22" s="24">
        <v>484</v>
      </c>
      <c r="U22" s="24">
        <v>382</v>
      </c>
      <c r="V22" s="24">
        <v>564</v>
      </c>
      <c r="W22" s="62">
        <v>543</v>
      </c>
      <c r="X22" s="62">
        <v>420</v>
      </c>
      <c r="Y22" s="24">
        <v>522</v>
      </c>
      <c r="Z22" s="24">
        <v>386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427</v>
      </c>
      <c r="J23" s="44">
        <v>398</v>
      </c>
      <c r="K23" s="44">
        <v>417</v>
      </c>
      <c r="L23" s="44">
        <v>435</v>
      </c>
      <c r="M23" s="44">
        <v>424</v>
      </c>
      <c r="N23" s="44">
        <v>488</v>
      </c>
      <c r="O23" s="44">
        <v>544</v>
      </c>
      <c r="P23" s="44">
        <v>466</v>
      </c>
      <c r="Q23" s="44">
        <v>451</v>
      </c>
      <c r="R23" s="44">
        <v>456</v>
      </c>
      <c r="S23" s="44">
        <v>457</v>
      </c>
      <c r="T23" s="44">
        <v>484</v>
      </c>
      <c r="U23" s="44">
        <v>382</v>
      </c>
      <c r="V23" s="44">
        <v>564</v>
      </c>
      <c r="W23" s="63">
        <v>543</v>
      </c>
      <c r="X23" s="63">
        <v>420</v>
      </c>
      <c r="Y23" s="44">
        <v>522</v>
      </c>
      <c r="Z23" s="44">
        <v>386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1</v>
      </c>
      <c r="J25" s="24">
        <v>161</v>
      </c>
      <c r="K25" s="24">
        <v>82</v>
      </c>
      <c r="L25" s="24">
        <v>76</v>
      </c>
      <c r="M25" s="24">
        <v>116</v>
      </c>
      <c r="N25" s="24">
        <v>144</v>
      </c>
      <c r="O25" s="24">
        <v>39</v>
      </c>
      <c r="P25" s="24">
        <v>139</v>
      </c>
      <c r="Q25" s="24">
        <v>190</v>
      </c>
      <c r="R25" s="24">
        <v>79</v>
      </c>
      <c r="S25" s="24">
        <v>158</v>
      </c>
      <c r="T25" s="24">
        <v>122</v>
      </c>
      <c r="U25" s="24">
        <v>163</v>
      </c>
      <c r="V25" s="24">
        <v>54</v>
      </c>
      <c r="W25" s="62">
        <v>154</v>
      </c>
      <c r="X25" s="62">
        <v>136</v>
      </c>
      <c r="Y25" s="24">
        <v>116</v>
      </c>
      <c r="Z25" s="24">
        <v>219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1</v>
      </c>
      <c r="J26" s="44">
        <v>161</v>
      </c>
      <c r="K26" s="44">
        <v>82</v>
      </c>
      <c r="L26" s="44">
        <v>76</v>
      </c>
      <c r="M26" s="44">
        <v>116</v>
      </c>
      <c r="N26" s="44">
        <v>144</v>
      </c>
      <c r="O26" s="44">
        <v>39</v>
      </c>
      <c r="P26" s="44">
        <v>139</v>
      </c>
      <c r="Q26" s="44">
        <v>190</v>
      </c>
      <c r="R26" s="44">
        <v>79</v>
      </c>
      <c r="S26" s="44">
        <v>158</v>
      </c>
      <c r="T26" s="44">
        <v>122</v>
      </c>
      <c r="U26" s="44">
        <v>163</v>
      </c>
      <c r="V26" s="44">
        <v>54</v>
      </c>
      <c r="W26" s="63">
        <v>154</v>
      </c>
      <c r="X26" s="63">
        <v>136</v>
      </c>
      <c r="Y26" s="44">
        <v>116</v>
      </c>
      <c r="Z26" s="44">
        <v>219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G25:G26"/>
    <mergeCell ref="AA25:AA26"/>
    <mergeCell ref="A24:AA24"/>
    <mergeCell ref="A25:A26"/>
    <mergeCell ref="B25:B26"/>
    <mergeCell ref="C25:C26"/>
    <mergeCell ref="D25:D26"/>
    <mergeCell ref="E25:E26"/>
    <mergeCell ref="F25:F26"/>
    <mergeCell ref="E22:E23"/>
    <mergeCell ref="F19:F20"/>
    <mergeCell ref="G19:G20"/>
    <mergeCell ref="AA19:AA20"/>
    <mergeCell ref="A19:A20"/>
    <mergeCell ref="B19:B20"/>
    <mergeCell ref="C19:C20"/>
    <mergeCell ref="D19:D20"/>
    <mergeCell ref="E19:E20"/>
    <mergeCell ref="F22:F23"/>
    <mergeCell ref="G22:G23"/>
    <mergeCell ref="AA22:AA23"/>
    <mergeCell ref="A22:A23"/>
    <mergeCell ref="B22:B23"/>
    <mergeCell ref="C22:C23"/>
    <mergeCell ref="D22:D23"/>
    <mergeCell ref="F16:F17"/>
    <mergeCell ref="G16:G17"/>
    <mergeCell ref="AA16:AA17"/>
    <mergeCell ref="A18:AA18"/>
    <mergeCell ref="A16:A17"/>
    <mergeCell ref="B16:B17"/>
    <mergeCell ref="C16:C17"/>
    <mergeCell ref="D16:D17"/>
    <mergeCell ref="E16:E17"/>
    <mergeCell ref="F13:F14"/>
    <mergeCell ref="G13:G14"/>
    <mergeCell ref="AA13:AA14"/>
    <mergeCell ref="A15:AA15"/>
    <mergeCell ref="A13:A14"/>
    <mergeCell ref="B13:B14"/>
    <mergeCell ref="C13:C14"/>
    <mergeCell ref="D13:D14"/>
    <mergeCell ref="E13:E14"/>
    <mergeCell ref="A12:AA12"/>
    <mergeCell ref="A10:A11"/>
    <mergeCell ref="B10:B11"/>
    <mergeCell ref="C10:C11"/>
    <mergeCell ref="D10:D11"/>
    <mergeCell ref="E10:E11"/>
    <mergeCell ref="A1:AA1"/>
    <mergeCell ref="F2:G2"/>
    <mergeCell ref="A4:AA4"/>
    <mergeCell ref="A5:AA5"/>
    <mergeCell ref="F10:F11"/>
    <mergeCell ref="G10:G11"/>
    <mergeCell ref="AA10:AA11"/>
    <mergeCell ref="A6:A9"/>
    <mergeCell ref="B6:H6"/>
    <mergeCell ref="I6:Z6"/>
    <mergeCell ref="AA6:AA9"/>
    <mergeCell ref="B7:D7"/>
    <mergeCell ref="E7:H7"/>
    <mergeCell ref="I7:Z7"/>
    <mergeCell ref="B8:Z8"/>
    <mergeCell ref="W2:AA2"/>
    <mergeCell ref="I29:L29"/>
    <mergeCell ref="B34:M34"/>
    <mergeCell ref="B35:G35"/>
    <mergeCell ref="H35:M35"/>
    <mergeCell ref="B36:G37"/>
    <mergeCell ref="H36:M37"/>
  </mergeCells>
  <phoneticPr fontId="29" type="noConversion"/>
  <conditionalFormatting sqref="I21:Z21">
    <cfRule type="colorScale" priority="3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578" priority="18" operator="greaterThan">
      <formula>95%</formula>
    </cfRule>
    <cfRule type="cellIs" dxfId="577" priority="19" operator="greaterThanOrEqual">
      <formula>90%</formula>
    </cfRule>
    <cfRule type="cellIs" dxfId="576" priority="20" operator="lessThan">
      <formula>89.99%</formula>
    </cfRule>
  </conditionalFormatting>
  <conditionalFormatting sqref="AA13">
    <cfRule type="cellIs" dxfId="575" priority="15" operator="greaterThan">
      <formula>95%</formula>
    </cfRule>
    <cfRule type="cellIs" dxfId="574" priority="16" operator="greaterThanOrEqual">
      <formula>90%</formula>
    </cfRule>
    <cfRule type="cellIs" dxfId="573" priority="17" operator="lessThan">
      <formula>89.99%</formula>
    </cfRule>
  </conditionalFormatting>
  <conditionalFormatting sqref="AA16">
    <cfRule type="cellIs" dxfId="572" priority="12" operator="greaterThan">
      <formula>95%</formula>
    </cfRule>
    <cfRule type="cellIs" dxfId="571" priority="13" operator="greaterThanOrEqual">
      <formula>90%</formula>
    </cfRule>
    <cfRule type="cellIs" dxfId="570" priority="14" operator="lessThan">
      <formula>89.99%</formula>
    </cfRule>
  </conditionalFormatting>
  <conditionalFormatting sqref="AA19">
    <cfRule type="cellIs" dxfId="569" priority="9" operator="greaterThan">
      <formula>95%</formula>
    </cfRule>
    <cfRule type="cellIs" dxfId="568" priority="10" operator="greaterThanOrEqual">
      <formula>90%</formula>
    </cfRule>
    <cfRule type="cellIs" dxfId="567" priority="11" operator="lessThan">
      <formula>89.99%</formula>
    </cfRule>
  </conditionalFormatting>
  <conditionalFormatting sqref="AA22">
    <cfRule type="cellIs" dxfId="566" priority="1" operator="greaterThanOrEqual">
      <formula>100%</formula>
    </cfRule>
    <cfRule type="cellIs" dxfId="565" priority="2" operator="lessThan">
      <formula>99.99%</formula>
    </cfRule>
  </conditionalFormatting>
  <conditionalFormatting sqref="AA25">
    <cfRule type="cellIs" dxfId="564" priority="3" operator="greaterThan">
      <formula>95%</formula>
    </cfRule>
    <cfRule type="cellIs" dxfId="563" priority="4" operator="greaterThanOrEqual">
      <formula>90%</formula>
    </cfRule>
    <cfRule type="cellIs" dxfId="562" priority="5" operator="lessThan">
      <formula>89.99%</formula>
    </cfRule>
  </conditionalFormatting>
  <dataValidations count="1">
    <dataValidation showDropDown="1" showInputMessage="1" showErrorMessage="1" sqref="C21 G19:G23 G10:G11 G16:G17 G13:G14 G25:G26" xr:uid="{820946AA-C183-4626-8A92-3B8F572B4414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9C810-9E18-4536-A5E3-FEC5E7D4A6D3}">
  <sheetPr>
    <tabColor rgb="FFFF69C2"/>
  </sheetPr>
  <dimension ref="A1:AM38"/>
  <sheetViews>
    <sheetView showGridLines="0" zoomScale="68" zoomScaleNormal="68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2</v>
      </c>
      <c r="F2" s="129" t="s">
        <v>25</v>
      </c>
      <c r="G2" s="129"/>
      <c r="H2" s="22">
        <v>160258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3</v>
      </c>
      <c r="J10" s="24">
        <v>118</v>
      </c>
      <c r="K10" s="24">
        <v>153</v>
      </c>
      <c r="L10" s="24">
        <v>151</v>
      </c>
      <c r="M10" s="24">
        <v>126</v>
      </c>
      <c r="N10" s="24">
        <v>109</v>
      </c>
      <c r="O10" s="24">
        <v>81</v>
      </c>
      <c r="P10" s="24">
        <v>95</v>
      </c>
      <c r="Q10" s="24">
        <v>167</v>
      </c>
      <c r="R10" s="24">
        <v>135</v>
      </c>
      <c r="S10" s="24">
        <v>284</v>
      </c>
      <c r="T10" s="24">
        <v>201</v>
      </c>
      <c r="U10" s="24">
        <v>162</v>
      </c>
      <c r="V10" s="24">
        <v>263</v>
      </c>
      <c r="W10" s="62">
        <v>169</v>
      </c>
      <c r="X10" s="62">
        <v>168</v>
      </c>
      <c r="Y10" s="24">
        <v>205</v>
      </c>
      <c r="Z10" s="24">
        <v>125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3</v>
      </c>
      <c r="J11" s="44">
        <v>118</v>
      </c>
      <c r="K11" s="44">
        <v>153</v>
      </c>
      <c r="L11" s="44">
        <v>151</v>
      </c>
      <c r="M11" s="44">
        <v>126</v>
      </c>
      <c r="N11" s="44">
        <v>109</v>
      </c>
      <c r="O11" s="44">
        <v>81</v>
      </c>
      <c r="P11" s="44">
        <v>95</v>
      </c>
      <c r="Q11" s="44">
        <v>167</v>
      </c>
      <c r="R11" s="44">
        <v>135</v>
      </c>
      <c r="S11" s="44">
        <v>284</v>
      </c>
      <c r="T11" s="44">
        <v>201</v>
      </c>
      <c r="U11" s="44">
        <v>162</v>
      </c>
      <c r="V11" s="44">
        <v>263</v>
      </c>
      <c r="W11" s="63">
        <v>169</v>
      </c>
      <c r="X11" s="63">
        <v>168</v>
      </c>
      <c r="Y11" s="44">
        <v>205</v>
      </c>
      <c r="Z11" s="44">
        <v>125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3</v>
      </c>
      <c r="J13" s="24">
        <v>118</v>
      </c>
      <c r="K13" s="24">
        <v>151</v>
      </c>
      <c r="L13" s="24">
        <v>149</v>
      </c>
      <c r="M13" s="24">
        <v>126</v>
      </c>
      <c r="N13" s="24">
        <v>109</v>
      </c>
      <c r="O13" s="24">
        <v>80</v>
      </c>
      <c r="P13" s="24">
        <v>94</v>
      </c>
      <c r="Q13" s="24">
        <v>167</v>
      </c>
      <c r="R13" s="24">
        <v>134</v>
      </c>
      <c r="S13" s="24">
        <v>283</v>
      </c>
      <c r="T13" s="24">
        <v>199</v>
      </c>
      <c r="U13" s="24">
        <v>159</v>
      </c>
      <c r="V13" s="24">
        <v>261</v>
      </c>
      <c r="W13" s="62">
        <v>166</v>
      </c>
      <c r="X13" s="62">
        <v>164</v>
      </c>
      <c r="Y13" s="24">
        <v>201</v>
      </c>
      <c r="Z13" s="24">
        <v>125</v>
      </c>
      <c r="AA13" s="119">
        <f>IFERROR(SUM(I13:Z13)/SUM(I14:Z14),0)</f>
        <v>0.99042357274401471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3</v>
      </c>
      <c r="J14" s="44">
        <v>118</v>
      </c>
      <c r="K14" s="44">
        <v>153</v>
      </c>
      <c r="L14" s="44">
        <v>151</v>
      </c>
      <c r="M14" s="44">
        <v>126</v>
      </c>
      <c r="N14" s="44">
        <v>109</v>
      </c>
      <c r="O14" s="44">
        <v>81</v>
      </c>
      <c r="P14" s="44">
        <v>95</v>
      </c>
      <c r="Q14" s="44">
        <v>167</v>
      </c>
      <c r="R14" s="44">
        <v>135</v>
      </c>
      <c r="S14" s="44">
        <v>284</v>
      </c>
      <c r="T14" s="44">
        <v>201</v>
      </c>
      <c r="U14" s="44">
        <v>162</v>
      </c>
      <c r="V14" s="44">
        <v>263</v>
      </c>
      <c r="W14" s="63">
        <v>169</v>
      </c>
      <c r="X14" s="63">
        <v>168</v>
      </c>
      <c r="Y14" s="44">
        <v>205</v>
      </c>
      <c r="Z14" s="44">
        <v>125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3</v>
      </c>
      <c r="J16" s="24">
        <v>118</v>
      </c>
      <c r="K16" s="24">
        <v>153</v>
      </c>
      <c r="L16" s="24">
        <v>151</v>
      </c>
      <c r="M16" s="24">
        <v>126</v>
      </c>
      <c r="N16" s="24">
        <v>109</v>
      </c>
      <c r="O16" s="24">
        <v>81</v>
      </c>
      <c r="P16" s="24">
        <v>95</v>
      </c>
      <c r="Q16" s="24">
        <v>167</v>
      </c>
      <c r="R16" s="24">
        <v>135</v>
      </c>
      <c r="S16" s="24">
        <v>284</v>
      </c>
      <c r="T16" s="24">
        <v>201</v>
      </c>
      <c r="U16" s="24">
        <v>162</v>
      </c>
      <c r="V16" s="24">
        <v>262</v>
      </c>
      <c r="W16" s="62">
        <v>169</v>
      </c>
      <c r="X16" s="62">
        <v>168</v>
      </c>
      <c r="Y16" s="24">
        <v>205</v>
      </c>
      <c r="Z16" s="24">
        <v>125</v>
      </c>
      <c r="AA16" s="119">
        <f>IFERROR(SUM(I16:Z16)/SUM(I17:Z17),0)</f>
        <v>0.99963167587476975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3</v>
      </c>
      <c r="J17" s="44">
        <v>118</v>
      </c>
      <c r="K17" s="44">
        <v>153</v>
      </c>
      <c r="L17" s="44">
        <v>151</v>
      </c>
      <c r="M17" s="44">
        <v>126</v>
      </c>
      <c r="N17" s="44">
        <v>109</v>
      </c>
      <c r="O17" s="44">
        <v>81</v>
      </c>
      <c r="P17" s="44">
        <v>95</v>
      </c>
      <c r="Q17" s="44">
        <v>167</v>
      </c>
      <c r="R17" s="44">
        <v>135</v>
      </c>
      <c r="S17" s="44">
        <v>284</v>
      </c>
      <c r="T17" s="44">
        <v>201</v>
      </c>
      <c r="U17" s="44">
        <v>162</v>
      </c>
      <c r="V17" s="44">
        <v>263</v>
      </c>
      <c r="W17" s="63">
        <v>169</v>
      </c>
      <c r="X17" s="63">
        <v>168</v>
      </c>
      <c r="Y17" s="44">
        <v>205</v>
      </c>
      <c r="Z17" s="44">
        <v>125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12</v>
      </c>
      <c r="J19" s="24">
        <v>80</v>
      </c>
      <c r="K19" s="24">
        <v>118</v>
      </c>
      <c r="L19" s="24">
        <v>149</v>
      </c>
      <c r="M19" s="24">
        <v>148</v>
      </c>
      <c r="N19" s="24">
        <v>126</v>
      </c>
      <c r="O19" s="24">
        <v>196</v>
      </c>
      <c r="P19" s="24">
        <v>82</v>
      </c>
      <c r="Q19" s="24">
        <v>146</v>
      </c>
      <c r="R19" s="24">
        <v>112</v>
      </c>
      <c r="S19" s="24">
        <v>240</v>
      </c>
      <c r="T19" s="24">
        <v>211</v>
      </c>
      <c r="U19" s="24">
        <v>128</v>
      </c>
      <c r="V19" s="24">
        <v>222</v>
      </c>
      <c r="W19" s="62">
        <v>276</v>
      </c>
      <c r="X19" s="62">
        <v>127</v>
      </c>
      <c r="Y19" s="24">
        <v>152</v>
      </c>
      <c r="Z19" s="24">
        <v>125</v>
      </c>
      <c r="AA19" s="119">
        <f>IFERROR(SUM(I19:Z19)/SUM(I20:Z20),0)</f>
        <v>0.99886920467395401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12</v>
      </c>
      <c r="J20" s="44">
        <v>80</v>
      </c>
      <c r="K20" s="44">
        <v>118</v>
      </c>
      <c r="L20" s="44">
        <v>149</v>
      </c>
      <c r="M20" s="44">
        <v>148</v>
      </c>
      <c r="N20" s="44">
        <v>126</v>
      </c>
      <c r="O20" s="44">
        <v>196</v>
      </c>
      <c r="P20" s="44">
        <v>82</v>
      </c>
      <c r="Q20" s="44">
        <v>146</v>
      </c>
      <c r="R20" s="44">
        <v>112</v>
      </c>
      <c r="S20" s="44">
        <v>240</v>
      </c>
      <c r="T20" s="44">
        <v>211</v>
      </c>
      <c r="U20" s="44">
        <v>128</v>
      </c>
      <c r="V20" s="44">
        <v>222</v>
      </c>
      <c r="W20" s="63">
        <v>276</v>
      </c>
      <c r="X20" s="63">
        <v>127</v>
      </c>
      <c r="Y20" s="44">
        <v>152</v>
      </c>
      <c r="Z20" s="44">
        <v>128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278</v>
      </c>
      <c r="J22" s="24">
        <v>267</v>
      </c>
      <c r="K22" s="24">
        <v>324</v>
      </c>
      <c r="L22" s="24">
        <v>441</v>
      </c>
      <c r="M22" s="24">
        <v>428</v>
      </c>
      <c r="N22" s="24">
        <v>693</v>
      </c>
      <c r="O22" s="24">
        <v>447</v>
      </c>
      <c r="P22" s="24">
        <v>448</v>
      </c>
      <c r="Q22" s="24">
        <v>511</v>
      </c>
      <c r="R22" s="24">
        <v>534</v>
      </c>
      <c r="S22" s="24">
        <v>629</v>
      </c>
      <c r="T22" s="24">
        <v>660</v>
      </c>
      <c r="U22" s="24">
        <v>593</v>
      </c>
      <c r="V22" s="24">
        <v>520</v>
      </c>
      <c r="W22" s="62">
        <v>592</v>
      </c>
      <c r="X22" s="62">
        <v>555</v>
      </c>
      <c r="Y22" s="24">
        <v>454</v>
      </c>
      <c r="Z22" s="24">
        <v>412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278</v>
      </c>
      <c r="J23" s="44">
        <v>267</v>
      </c>
      <c r="K23" s="44">
        <v>324</v>
      </c>
      <c r="L23" s="44">
        <v>441</v>
      </c>
      <c r="M23" s="44">
        <v>428</v>
      </c>
      <c r="N23" s="44">
        <v>693</v>
      </c>
      <c r="O23" s="44">
        <v>447</v>
      </c>
      <c r="P23" s="44">
        <v>448</v>
      </c>
      <c r="Q23" s="44">
        <v>511</v>
      </c>
      <c r="R23" s="44">
        <v>534</v>
      </c>
      <c r="S23" s="44">
        <v>629</v>
      </c>
      <c r="T23" s="44">
        <v>660</v>
      </c>
      <c r="U23" s="44">
        <v>593</v>
      </c>
      <c r="V23" s="44">
        <v>520</v>
      </c>
      <c r="W23" s="63">
        <v>592</v>
      </c>
      <c r="X23" s="63">
        <v>555</v>
      </c>
      <c r="Y23" s="44">
        <v>454</v>
      </c>
      <c r="Z23" s="44">
        <v>412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26</v>
      </c>
      <c r="J25" s="24">
        <v>105</v>
      </c>
      <c r="K25" s="24">
        <v>86</v>
      </c>
      <c r="L25" s="24">
        <v>0</v>
      </c>
      <c r="M25" s="24">
        <v>153</v>
      </c>
      <c r="N25" s="24">
        <v>128</v>
      </c>
      <c r="O25" s="24">
        <v>351</v>
      </c>
      <c r="P25" s="24">
        <v>81</v>
      </c>
      <c r="Q25" s="24">
        <v>83</v>
      </c>
      <c r="R25" s="24">
        <v>89</v>
      </c>
      <c r="S25" s="24">
        <v>140</v>
      </c>
      <c r="T25" s="24">
        <v>180</v>
      </c>
      <c r="U25" s="24">
        <v>195</v>
      </c>
      <c r="V25" s="24">
        <v>295</v>
      </c>
      <c r="W25" s="62">
        <v>201</v>
      </c>
      <c r="X25" s="62">
        <v>164</v>
      </c>
      <c r="Y25" s="24">
        <v>252</v>
      </c>
      <c r="Z25" s="24">
        <v>170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26</v>
      </c>
      <c r="J26" s="44">
        <v>105</v>
      </c>
      <c r="K26" s="44">
        <v>86</v>
      </c>
      <c r="L26" s="44">
        <v>0</v>
      </c>
      <c r="M26" s="44">
        <v>153</v>
      </c>
      <c r="N26" s="44">
        <v>128</v>
      </c>
      <c r="O26" s="44">
        <v>351</v>
      </c>
      <c r="P26" s="44">
        <v>81</v>
      </c>
      <c r="Q26" s="44">
        <v>83</v>
      </c>
      <c r="R26" s="44">
        <v>89</v>
      </c>
      <c r="S26" s="44">
        <v>140</v>
      </c>
      <c r="T26" s="44">
        <v>180</v>
      </c>
      <c r="U26" s="44">
        <v>195</v>
      </c>
      <c r="V26" s="44">
        <v>295</v>
      </c>
      <c r="W26" s="63">
        <v>201</v>
      </c>
      <c r="X26" s="63">
        <v>164</v>
      </c>
      <c r="Y26" s="44">
        <v>252</v>
      </c>
      <c r="Z26" s="44">
        <v>170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AA25:AA26"/>
    <mergeCell ref="I29:L29"/>
    <mergeCell ref="B34:M34"/>
    <mergeCell ref="B35:G35"/>
    <mergeCell ref="H35:M35"/>
    <mergeCell ref="B36:G37"/>
    <mergeCell ref="H36:M37"/>
    <mergeCell ref="G22:G23"/>
    <mergeCell ref="AA22:AA23"/>
    <mergeCell ref="A24:AA24"/>
    <mergeCell ref="A25:A26"/>
    <mergeCell ref="B25:B26"/>
    <mergeCell ref="C25:C26"/>
    <mergeCell ref="D25:D26"/>
    <mergeCell ref="E25:E26"/>
    <mergeCell ref="F25:F26"/>
    <mergeCell ref="G25:G26"/>
    <mergeCell ref="A22:A23"/>
    <mergeCell ref="B22:B23"/>
    <mergeCell ref="C22:C23"/>
    <mergeCell ref="D22:D23"/>
    <mergeCell ref="E22:E23"/>
    <mergeCell ref="F22:F23"/>
    <mergeCell ref="A18:AA18"/>
    <mergeCell ref="A19:A20"/>
    <mergeCell ref="B19:B20"/>
    <mergeCell ref="C19:C20"/>
    <mergeCell ref="D19:D20"/>
    <mergeCell ref="E19:E20"/>
    <mergeCell ref="F19:F20"/>
    <mergeCell ref="G19:G20"/>
    <mergeCell ref="AA19:AA20"/>
    <mergeCell ref="A15:AA15"/>
    <mergeCell ref="A16:A17"/>
    <mergeCell ref="B16:B17"/>
    <mergeCell ref="C16:C17"/>
    <mergeCell ref="D16:D17"/>
    <mergeCell ref="E16:E17"/>
    <mergeCell ref="F16:F17"/>
    <mergeCell ref="G16:G17"/>
    <mergeCell ref="AA16:AA17"/>
    <mergeCell ref="A10:A11"/>
    <mergeCell ref="B10:B11"/>
    <mergeCell ref="C10:C11"/>
    <mergeCell ref="D10:D11"/>
    <mergeCell ref="E10:E11"/>
    <mergeCell ref="A12:AA12"/>
    <mergeCell ref="A13:A14"/>
    <mergeCell ref="B13:B14"/>
    <mergeCell ref="C13:C14"/>
    <mergeCell ref="D13:D14"/>
    <mergeCell ref="E13:E14"/>
    <mergeCell ref="F13:F14"/>
    <mergeCell ref="G13:G14"/>
    <mergeCell ref="AA13:AA14"/>
    <mergeCell ref="AA10:AA11"/>
    <mergeCell ref="F10:F11"/>
    <mergeCell ref="AA6:AA9"/>
    <mergeCell ref="B7:D7"/>
    <mergeCell ref="A1:AA1"/>
    <mergeCell ref="F2:G2"/>
    <mergeCell ref="W2:AA2"/>
    <mergeCell ref="A4:AA4"/>
    <mergeCell ref="A5:AA5"/>
    <mergeCell ref="E7:H7"/>
    <mergeCell ref="I7:Z7"/>
    <mergeCell ref="B8:Z8"/>
    <mergeCell ref="A6:A9"/>
    <mergeCell ref="B6:H6"/>
    <mergeCell ref="I6:Z6"/>
    <mergeCell ref="G10:G11"/>
  </mergeCells>
  <conditionalFormatting sqref="I21:Z21">
    <cfRule type="colorScale" priority="21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561" priority="18" operator="greaterThan">
      <formula>95%</formula>
    </cfRule>
    <cfRule type="cellIs" dxfId="560" priority="19" operator="greaterThanOrEqual">
      <formula>90%</formula>
    </cfRule>
    <cfRule type="cellIs" dxfId="559" priority="20" operator="lessThan">
      <formula>89.99%</formula>
    </cfRule>
  </conditionalFormatting>
  <conditionalFormatting sqref="AA13">
    <cfRule type="cellIs" dxfId="558" priority="15" operator="greaterThan">
      <formula>95%</formula>
    </cfRule>
    <cfRule type="cellIs" dxfId="557" priority="16" operator="greaterThanOrEqual">
      <formula>90%</formula>
    </cfRule>
    <cfRule type="cellIs" dxfId="556" priority="17" operator="lessThan">
      <formula>89.99%</formula>
    </cfRule>
  </conditionalFormatting>
  <conditionalFormatting sqref="AA16">
    <cfRule type="cellIs" dxfId="555" priority="12" operator="greaterThan">
      <formula>95%</formula>
    </cfRule>
    <cfRule type="cellIs" dxfId="554" priority="13" operator="greaterThanOrEqual">
      <formula>90%</formula>
    </cfRule>
    <cfRule type="cellIs" dxfId="553" priority="14" operator="lessThan">
      <formula>89.99%</formula>
    </cfRule>
  </conditionalFormatting>
  <conditionalFormatting sqref="AA19">
    <cfRule type="cellIs" dxfId="552" priority="9" operator="greaterThan">
      <formula>95%</formula>
    </cfRule>
    <cfRule type="cellIs" dxfId="551" priority="10" operator="greaterThanOrEqual">
      <formula>90%</formula>
    </cfRule>
    <cfRule type="cellIs" dxfId="550" priority="11" operator="lessThan">
      <formula>89.99%</formula>
    </cfRule>
  </conditionalFormatting>
  <conditionalFormatting sqref="AA22">
    <cfRule type="cellIs" dxfId="549" priority="1" operator="greaterThan">
      <formula>95%</formula>
    </cfRule>
    <cfRule type="cellIs" dxfId="548" priority="2" operator="greaterThanOrEqual">
      <formula>90%</formula>
    </cfRule>
    <cfRule type="cellIs" dxfId="547" priority="3" operator="lessThan">
      <formula>89.99%</formula>
    </cfRule>
  </conditionalFormatting>
  <conditionalFormatting sqref="AA25">
    <cfRule type="cellIs" dxfId="546" priority="6" operator="greaterThan">
      <formula>95%</formula>
    </cfRule>
    <cfRule type="cellIs" dxfId="545" priority="7" operator="greaterThanOrEqual">
      <formula>90%</formula>
    </cfRule>
    <cfRule type="cellIs" dxfId="544" priority="8" operator="lessThan">
      <formula>89.99%</formula>
    </cfRule>
  </conditionalFormatting>
  <dataValidations disablePrompts="1" count="1">
    <dataValidation showDropDown="1" showInputMessage="1" showErrorMessage="1" sqref="C21 G19:G23 G10:G11 G16:G17 G13:G14 G25:G26" xr:uid="{038297DE-A422-49AC-A199-BA8A9E7CF225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B6805-BA96-4362-9B68-4B0701E6FBD7}">
  <sheetPr>
    <tabColor rgb="FF00B050"/>
  </sheetPr>
  <dimension ref="A1:AM38"/>
  <sheetViews>
    <sheetView showGridLines="0" topLeftCell="A4" zoomScale="64" zoomScaleNormal="64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3</v>
      </c>
      <c r="F2" s="129" t="s">
        <v>25</v>
      </c>
      <c r="G2" s="129"/>
      <c r="H2" s="22">
        <v>160351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84</v>
      </c>
      <c r="J10" s="24">
        <v>438</v>
      </c>
      <c r="K10" s="24">
        <v>445</v>
      </c>
      <c r="L10" s="24">
        <v>445</v>
      </c>
      <c r="M10" s="24">
        <v>500</v>
      </c>
      <c r="N10" s="24">
        <v>459</v>
      </c>
      <c r="O10" s="24">
        <v>496</v>
      </c>
      <c r="P10" s="24">
        <v>485</v>
      </c>
      <c r="Q10" s="24">
        <v>444</v>
      </c>
      <c r="R10" s="24">
        <v>353</v>
      </c>
      <c r="S10" s="24">
        <v>558</v>
      </c>
      <c r="T10" s="24">
        <v>603</v>
      </c>
      <c r="U10" s="24">
        <v>543</v>
      </c>
      <c r="V10" s="24">
        <v>755</v>
      </c>
      <c r="W10" s="24">
        <v>731</v>
      </c>
      <c r="X10" s="24">
        <v>590</v>
      </c>
      <c r="Y10" s="24">
        <v>835</v>
      </c>
      <c r="Z10" s="24">
        <v>689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84</v>
      </c>
      <c r="J11" s="44">
        <v>438</v>
      </c>
      <c r="K11" s="44">
        <v>445</v>
      </c>
      <c r="L11" s="44">
        <v>445</v>
      </c>
      <c r="M11" s="44">
        <v>500</v>
      </c>
      <c r="N11" s="44">
        <v>459</v>
      </c>
      <c r="O11" s="44">
        <v>496</v>
      </c>
      <c r="P11" s="44">
        <v>485</v>
      </c>
      <c r="Q11" s="44">
        <v>444</v>
      </c>
      <c r="R11" s="44">
        <v>353</v>
      </c>
      <c r="S11" s="44">
        <v>558</v>
      </c>
      <c r="T11" s="44">
        <v>603</v>
      </c>
      <c r="U11" s="44">
        <v>543</v>
      </c>
      <c r="V11" s="44">
        <v>755</v>
      </c>
      <c r="W11" s="44">
        <v>731</v>
      </c>
      <c r="X11" s="44">
        <v>590</v>
      </c>
      <c r="Y11" s="44">
        <v>835</v>
      </c>
      <c r="Z11" s="44">
        <v>689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84</v>
      </c>
      <c r="J13" s="24">
        <v>437</v>
      </c>
      <c r="K13" s="24">
        <v>444</v>
      </c>
      <c r="L13" s="24">
        <v>443</v>
      </c>
      <c r="M13" s="24">
        <v>499</v>
      </c>
      <c r="N13" s="24">
        <v>458</v>
      </c>
      <c r="O13" s="24">
        <v>495</v>
      </c>
      <c r="P13" s="24">
        <v>484</v>
      </c>
      <c r="Q13" s="24">
        <v>441</v>
      </c>
      <c r="R13" s="24">
        <v>352</v>
      </c>
      <c r="S13" s="24">
        <v>355</v>
      </c>
      <c r="T13" s="24">
        <v>602</v>
      </c>
      <c r="U13" s="24">
        <v>542</v>
      </c>
      <c r="V13" s="24">
        <v>752</v>
      </c>
      <c r="W13" s="24">
        <v>729</v>
      </c>
      <c r="X13" s="24">
        <v>589</v>
      </c>
      <c r="Y13" s="24">
        <v>828</v>
      </c>
      <c r="Z13" s="24">
        <v>686</v>
      </c>
      <c r="AA13" s="119">
        <f>IFERROR(SUM(I13:Z13)/SUM(I14:Z14),0)</f>
        <v>0.97535174018830006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84</v>
      </c>
      <c r="J14" s="44">
        <v>438</v>
      </c>
      <c r="K14" s="44">
        <v>445</v>
      </c>
      <c r="L14" s="44">
        <v>445</v>
      </c>
      <c r="M14" s="44">
        <v>500</v>
      </c>
      <c r="N14" s="44">
        <v>459</v>
      </c>
      <c r="O14" s="44">
        <v>496</v>
      </c>
      <c r="P14" s="44">
        <v>485</v>
      </c>
      <c r="Q14" s="44">
        <v>444</v>
      </c>
      <c r="R14" s="44">
        <v>353</v>
      </c>
      <c r="S14" s="44">
        <v>558</v>
      </c>
      <c r="T14" s="44">
        <v>603</v>
      </c>
      <c r="U14" s="44">
        <v>543</v>
      </c>
      <c r="V14" s="44">
        <v>755</v>
      </c>
      <c r="W14" s="44">
        <v>731</v>
      </c>
      <c r="X14" s="44">
        <v>590</v>
      </c>
      <c r="Y14" s="44">
        <v>835</v>
      </c>
      <c r="Z14" s="44">
        <v>689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84</v>
      </c>
      <c r="J16" s="24">
        <v>438</v>
      </c>
      <c r="K16" s="24">
        <v>445</v>
      </c>
      <c r="L16" s="24">
        <v>445</v>
      </c>
      <c r="M16" s="24">
        <v>500</v>
      </c>
      <c r="N16" s="24">
        <v>459</v>
      </c>
      <c r="O16" s="24">
        <v>496</v>
      </c>
      <c r="P16" s="24">
        <v>485</v>
      </c>
      <c r="Q16" s="24">
        <v>444</v>
      </c>
      <c r="R16" s="24">
        <v>353</v>
      </c>
      <c r="S16" s="24">
        <v>558</v>
      </c>
      <c r="T16" s="24">
        <v>603</v>
      </c>
      <c r="U16" s="24">
        <v>543</v>
      </c>
      <c r="V16" s="24">
        <v>755</v>
      </c>
      <c r="W16" s="24">
        <v>731</v>
      </c>
      <c r="X16" s="24">
        <v>590</v>
      </c>
      <c r="Y16" s="24">
        <v>835</v>
      </c>
      <c r="Z16" s="24">
        <v>689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84</v>
      </c>
      <c r="J17" s="44">
        <v>438</v>
      </c>
      <c r="K17" s="44">
        <v>445</v>
      </c>
      <c r="L17" s="44">
        <v>445</v>
      </c>
      <c r="M17" s="44">
        <v>500</v>
      </c>
      <c r="N17" s="44">
        <v>459</v>
      </c>
      <c r="O17" s="44">
        <v>496</v>
      </c>
      <c r="P17" s="44">
        <v>485</v>
      </c>
      <c r="Q17" s="44">
        <v>444</v>
      </c>
      <c r="R17" s="44">
        <v>353</v>
      </c>
      <c r="S17" s="44">
        <v>558</v>
      </c>
      <c r="T17" s="44">
        <v>603</v>
      </c>
      <c r="U17" s="44">
        <v>543</v>
      </c>
      <c r="V17" s="44">
        <v>755</v>
      </c>
      <c r="W17" s="44">
        <v>731</v>
      </c>
      <c r="X17" s="44">
        <v>590</v>
      </c>
      <c r="Y17" s="44">
        <v>835</v>
      </c>
      <c r="Z17" s="44">
        <v>689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64</v>
      </c>
      <c r="J19" s="24">
        <v>317</v>
      </c>
      <c r="K19" s="24">
        <v>453</v>
      </c>
      <c r="L19" s="24">
        <v>518</v>
      </c>
      <c r="M19" s="24">
        <v>475</v>
      </c>
      <c r="N19" s="24">
        <v>556</v>
      </c>
      <c r="O19" s="24">
        <v>276</v>
      </c>
      <c r="P19" s="24">
        <v>624</v>
      </c>
      <c r="Q19" s="24">
        <v>447</v>
      </c>
      <c r="R19" s="24">
        <v>429</v>
      </c>
      <c r="S19" s="24">
        <v>481</v>
      </c>
      <c r="T19" s="24">
        <v>467</v>
      </c>
      <c r="U19" s="24">
        <v>546</v>
      </c>
      <c r="V19" s="24">
        <v>794</v>
      </c>
      <c r="W19" s="24">
        <v>876</v>
      </c>
      <c r="X19" s="24">
        <v>304</v>
      </c>
      <c r="Y19" s="24">
        <v>639</v>
      </c>
      <c r="Z19" s="24">
        <v>361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64</v>
      </c>
      <c r="J20" s="44">
        <v>317</v>
      </c>
      <c r="K20" s="44">
        <v>453</v>
      </c>
      <c r="L20" s="44">
        <v>518</v>
      </c>
      <c r="M20" s="44">
        <v>475</v>
      </c>
      <c r="N20" s="44">
        <v>556</v>
      </c>
      <c r="O20" s="44">
        <v>276</v>
      </c>
      <c r="P20" s="44">
        <v>624</v>
      </c>
      <c r="Q20" s="44">
        <v>447</v>
      </c>
      <c r="R20" s="44">
        <v>429</v>
      </c>
      <c r="S20" s="44">
        <v>481</v>
      </c>
      <c r="T20" s="44">
        <v>467</v>
      </c>
      <c r="U20" s="44">
        <v>546</v>
      </c>
      <c r="V20" s="44">
        <v>794</v>
      </c>
      <c r="W20" s="44">
        <v>876</v>
      </c>
      <c r="X20" s="44">
        <v>304</v>
      </c>
      <c r="Y20" s="44">
        <v>639</v>
      </c>
      <c r="Z20" s="44">
        <v>361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705</v>
      </c>
      <c r="J22" s="24">
        <v>572</v>
      </c>
      <c r="K22" s="24">
        <v>595</v>
      </c>
      <c r="L22" s="24">
        <v>652</v>
      </c>
      <c r="M22" s="24">
        <v>683</v>
      </c>
      <c r="N22" s="24">
        <v>699</v>
      </c>
      <c r="O22" s="24">
        <v>586</v>
      </c>
      <c r="P22" s="24">
        <v>659</v>
      </c>
      <c r="Q22" s="24">
        <v>612</v>
      </c>
      <c r="R22" s="24">
        <v>691</v>
      </c>
      <c r="S22" s="24">
        <v>712</v>
      </c>
      <c r="T22" s="24">
        <v>668</v>
      </c>
      <c r="U22" s="24">
        <v>794</v>
      </c>
      <c r="V22" s="24">
        <v>996</v>
      </c>
      <c r="W22" s="24">
        <v>1260</v>
      </c>
      <c r="X22" s="24">
        <v>889</v>
      </c>
      <c r="Y22" s="24">
        <v>918</v>
      </c>
      <c r="Z22" s="24">
        <v>604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705</v>
      </c>
      <c r="J23" s="44">
        <v>572</v>
      </c>
      <c r="K23" s="44">
        <v>595</v>
      </c>
      <c r="L23" s="44">
        <v>652</v>
      </c>
      <c r="M23" s="44">
        <v>683</v>
      </c>
      <c r="N23" s="44">
        <v>699</v>
      </c>
      <c r="O23" s="44">
        <v>586</v>
      </c>
      <c r="P23" s="44">
        <v>659</v>
      </c>
      <c r="Q23" s="44">
        <v>612</v>
      </c>
      <c r="R23" s="44">
        <v>691</v>
      </c>
      <c r="S23" s="44">
        <v>712</v>
      </c>
      <c r="T23" s="44">
        <v>668</v>
      </c>
      <c r="U23" s="44">
        <v>794</v>
      </c>
      <c r="V23" s="44">
        <v>996</v>
      </c>
      <c r="W23" s="44">
        <v>1260</v>
      </c>
      <c r="X23" s="44">
        <v>889</v>
      </c>
      <c r="Y23" s="44">
        <v>918</v>
      </c>
      <c r="Z23" s="44">
        <v>604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102</v>
      </c>
      <c r="J25" s="24">
        <v>450</v>
      </c>
      <c r="K25" s="24">
        <v>423</v>
      </c>
      <c r="L25" s="24">
        <v>461</v>
      </c>
      <c r="M25" s="24">
        <v>444</v>
      </c>
      <c r="N25" s="24">
        <v>539</v>
      </c>
      <c r="O25" s="24">
        <v>389</v>
      </c>
      <c r="P25" s="24">
        <v>551</v>
      </c>
      <c r="Q25" s="24">
        <v>494</v>
      </c>
      <c r="R25" s="24">
        <v>350</v>
      </c>
      <c r="S25" s="24">
        <v>459</v>
      </c>
      <c r="T25" s="24">
        <v>511</v>
      </c>
      <c r="U25" s="24">
        <v>418</v>
      </c>
      <c r="V25" s="24">
        <v>592</v>
      </c>
      <c r="W25" s="24">
        <v>609</v>
      </c>
      <c r="X25" s="24">
        <v>675</v>
      </c>
      <c r="Y25" s="24">
        <v>610</v>
      </c>
      <c r="Z25" s="24">
        <v>675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102</v>
      </c>
      <c r="J26" s="44">
        <v>450</v>
      </c>
      <c r="K26" s="44">
        <v>423</v>
      </c>
      <c r="L26" s="44">
        <v>461</v>
      </c>
      <c r="M26" s="44">
        <v>444</v>
      </c>
      <c r="N26" s="44">
        <v>539</v>
      </c>
      <c r="O26" s="44">
        <v>389</v>
      </c>
      <c r="P26" s="44">
        <v>551</v>
      </c>
      <c r="Q26" s="44">
        <v>494</v>
      </c>
      <c r="R26" s="44">
        <v>350</v>
      </c>
      <c r="S26" s="44">
        <v>459</v>
      </c>
      <c r="T26" s="44">
        <v>511</v>
      </c>
      <c r="U26" s="44">
        <v>418</v>
      </c>
      <c r="V26" s="44">
        <v>592</v>
      </c>
      <c r="W26" s="44">
        <v>609</v>
      </c>
      <c r="X26" s="44">
        <v>675</v>
      </c>
      <c r="Y26" s="44">
        <v>610</v>
      </c>
      <c r="Z26" s="44">
        <v>675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AA25:AA26"/>
    <mergeCell ref="I29:L29"/>
    <mergeCell ref="B34:M34"/>
    <mergeCell ref="B35:G35"/>
    <mergeCell ref="H35:M35"/>
    <mergeCell ref="B36:G37"/>
    <mergeCell ref="H36:M37"/>
    <mergeCell ref="G22:G23"/>
    <mergeCell ref="AA22:AA23"/>
    <mergeCell ref="A24:AA24"/>
    <mergeCell ref="A25:A26"/>
    <mergeCell ref="B25:B26"/>
    <mergeCell ref="C25:C26"/>
    <mergeCell ref="D25:D26"/>
    <mergeCell ref="E25:E26"/>
    <mergeCell ref="F25:F26"/>
    <mergeCell ref="G25:G26"/>
    <mergeCell ref="A22:A23"/>
    <mergeCell ref="B22:B23"/>
    <mergeCell ref="C22:C23"/>
    <mergeCell ref="D22:D23"/>
    <mergeCell ref="E22:E23"/>
    <mergeCell ref="F22:F23"/>
    <mergeCell ref="A18:AA18"/>
    <mergeCell ref="A19:A20"/>
    <mergeCell ref="B19:B20"/>
    <mergeCell ref="C19:C20"/>
    <mergeCell ref="D19:D20"/>
    <mergeCell ref="E19:E20"/>
    <mergeCell ref="F19:F20"/>
    <mergeCell ref="G19:G20"/>
    <mergeCell ref="AA19:AA20"/>
    <mergeCell ref="A15:AA15"/>
    <mergeCell ref="A16:A17"/>
    <mergeCell ref="B16:B17"/>
    <mergeCell ref="C16:C17"/>
    <mergeCell ref="D16:D17"/>
    <mergeCell ref="E16:E17"/>
    <mergeCell ref="F16:F17"/>
    <mergeCell ref="G16:G17"/>
    <mergeCell ref="AA16:AA17"/>
    <mergeCell ref="A10:A11"/>
    <mergeCell ref="B10:B11"/>
    <mergeCell ref="C10:C11"/>
    <mergeCell ref="D10:D11"/>
    <mergeCell ref="E10:E11"/>
    <mergeCell ref="A12:AA12"/>
    <mergeCell ref="A13:A14"/>
    <mergeCell ref="B13:B14"/>
    <mergeCell ref="C13:C14"/>
    <mergeCell ref="D13:D14"/>
    <mergeCell ref="E13:E14"/>
    <mergeCell ref="F13:F14"/>
    <mergeCell ref="G13:G14"/>
    <mergeCell ref="AA13:AA14"/>
    <mergeCell ref="AA10:AA11"/>
    <mergeCell ref="F10:F11"/>
    <mergeCell ref="AA6:AA9"/>
    <mergeCell ref="B7:D7"/>
    <mergeCell ref="A1:AA1"/>
    <mergeCell ref="F2:G2"/>
    <mergeCell ref="W2:AA2"/>
    <mergeCell ref="A4:AA4"/>
    <mergeCell ref="A5:AA5"/>
    <mergeCell ref="E7:H7"/>
    <mergeCell ref="I7:Z7"/>
    <mergeCell ref="B8:Z8"/>
    <mergeCell ref="A6:A9"/>
    <mergeCell ref="B6:H6"/>
    <mergeCell ref="I6:Z6"/>
    <mergeCell ref="G10:G11"/>
  </mergeCells>
  <conditionalFormatting sqref="I21:Z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543" priority="15" operator="greaterThan">
      <formula>95%</formula>
    </cfRule>
    <cfRule type="cellIs" dxfId="542" priority="16" operator="greaterThanOrEqual">
      <formula>90%</formula>
    </cfRule>
    <cfRule type="cellIs" dxfId="541" priority="17" operator="lessThan">
      <formula>89.99%</formula>
    </cfRule>
  </conditionalFormatting>
  <conditionalFormatting sqref="AA13">
    <cfRule type="cellIs" dxfId="540" priority="12" operator="greaterThan">
      <formula>95%</formula>
    </cfRule>
    <cfRule type="cellIs" dxfId="539" priority="13" operator="greaterThanOrEqual">
      <formula>90%</formula>
    </cfRule>
    <cfRule type="cellIs" dxfId="538" priority="14" operator="lessThan">
      <formula>89.99%</formula>
    </cfRule>
  </conditionalFormatting>
  <conditionalFormatting sqref="AA16">
    <cfRule type="cellIs" dxfId="537" priority="9" operator="greaterThan">
      <formula>95%</formula>
    </cfRule>
    <cfRule type="cellIs" dxfId="536" priority="10" operator="greaterThanOrEqual">
      <formula>90%</formula>
    </cfRule>
    <cfRule type="cellIs" dxfId="535" priority="11" operator="lessThan">
      <formula>89.99%</formula>
    </cfRule>
  </conditionalFormatting>
  <conditionalFormatting sqref="AA19">
    <cfRule type="cellIs" dxfId="534" priority="6" operator="greaterThan">
      <formula>95%</formula>
    </cfRule>
    <cfRule type="cellIs" dxfId="533" priority="7" operator="greaterThanOrEqual">
      <formula>90%</formula>
    </cfRule>
    <cfRule type="cellIs" dxfId="532" priority="8" operator="lessThan">
      <formula>89.99%</formula>
    </cfRule>
  </conditionalFormatting>
  <conditionalFormatting sqref="AA22">
    <cfRule type="cellIs" dxfId="531" priority="1" operator="greaterThanOrEqual">
      <formula>100%</formula>
    </cfRule>
    <cfRule type="cellIs" dxfId="530" priority="2" operator="lessThan">
      <formula>99.99%</formula>
    </cfRule>
  </conditionalFormatting>
  <conditionalFormatting sqref="AA25">
    <cfRule type="cellIs" dxfId="529" priority="3" operator="greaterThan">
      <formula>95%</formula>
    </cfRule>
    <cfRule type="cellIs" dxfId="528" priority="4" operator="greaterThanOrEqual">
      <formula>90%</formula>
    </cfRule>
    <cfRule type="cellIs" dxfId="527" priority="5" operator="lessThan">
      <formula>89.99%</formula>
    </cfRule>
  </conditionalFormatting>
  <dataValidations disablePrompts="1" count="1">
    <dataValidation showDropDown="1" showInputMessage="1" showErrorMessage="1" sqref="C21 G19:G23 G10:G11 G16:G17 G13:G14 G25:G26" xr:uid="{95F9E35C-2DB5-4872-B08E-66618CA5A27D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4079A-061E-48B3-B3A8-84F502181541}">
  <sheetPr>
    <tabColor rgb="FF00B050"/>
  </sheetPr>
  <dimension ref="A1:AM38"/>
  <sheetViews>
    <sheetView showGridLines="0" topLeftCell="A4" zoomScale="62" zoomScaleNormal="62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3</v>
      </c>
      <c r="F2" s="129" t="s">
        <v>25</v>
      </c>
      <c r="G2" s="129"/>
      <c r="H2" s="22">
        <v>160352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7</v>
      </c>
      <c r="J10" s="24">
        <v>97</v>
      </c>
      <c r="K10" s="24">
        <v>62</v>
      </c>
      <c r="L10" s="24">
        <v>110</v>
      </c>
      <c r="M10" s="24">
        <v>119</v>
      </c>
      <c r="N10" s="24">
        <v>199</v>
      </c>
      <c r="O10" s="24">
        <v>130</v>
      </c>
      <c r="P10" s="24">
        <v>98</v>
      </c>
      <c r="Q10" s="24">
        <v>109</v>
      </c>
      <c r="R10" s="24">
        <v>97</v>
      </c>
      <c r="S10" s="24">
        <v>216</v>
      </c>
      <c r="T10" s="24">
        <v>132</v>
      </c>
      <c r="U10" s="24">
        <v>88</v>
      </c>
      <c r="V10" s="24">
        <v>86</v>
      </c>
      <c r="W10" s="24">
        <v>253</v>
      </c>
      <c r="X10" s="24">
        <v>193</v>
      </c>
      <c r="Y10" s="24">
        <v>125</v>
      </c>
      <c r="Z10" s="24">
        <v>84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7</v>
      </c>
      <c r="J11" s="44">
        <v>97</v>
      </c>
      <c r="K11" s="44">
        <v>62</v>
      </c>
      <c r="L11" s="44">
        <v>110</v>
      </c>
      <c r="M11" s="44">
        <v>119</v>
      </c>
      <c r="N11" s="44">
        <v>199</v>
      </c>
      <c r="O11" s="44">
        <v>130</v>
      </c>
      <c r="P11" s="44">
        <v>98</v>
      </c>
      <c r="Q11" s="44">
        <v>109</v>
      </c>
      <c r="R11" s="44">
        <v>97</v>
      </c>
      <c r="S11" s="44">
        <v>216</v>
      </c>
      <c r="T11" s="44">
        <v>132</v>
      </c>
      <c r="U11" s="44">
        <v>88</v>
      </c>
      <c r="V11" s="44">
        <v>86</v>
      </c>
      <c r="W11" s="44">
        <v>253</v>
      </c>
      <c r="X11" s="44">
        <v>193</v>
      </c>
      <c r="Y11" s="44">
        <v>125</v>
      </c>
      <c r="Z11" s="44">
        <v>84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7</v>
      </c>
      <c r="J13" s="24">
        <v>97</v>
      </c>
      <c r="K13" s="24">
        <v>62</v>
      </c>
      <c r="L13" s="24">
        <v>108</v>
      </c>
      <c r="M13" s="24">
        <v>116</v>
      </c>
      <c r="N13" s="24">
        <v>197</v>
      </c>
      <c r="O13" s="24">
        <v>130</v>
      </c>
      <c r="P13" s="24">
        <v>98</v>
      </c>
      <c r="Q13" s="24">
        <v>109</v>
      </c>
      <c r="R13" s="24">
        <v>97</v>
      </c>
      <c r="S13" s="24">
        <v>215</v>
      </c>
      <c r="T13" s="24">
        <v>132</v>
      </c>
      <c r="U13" s="24">
        <v>88</v>
      </c>
      <c r="V13" s="24">
        <v>86</v>
      </c>
      <c r="W13" s="24">
        <v>253</v>
      </c>
      <c r="X13" s="24">
        <v>193</v>
      </c>
      <c r="Y13" s="24">
        <v>125</v>
      </c>
      <c r="Z13" s="24">
        <v>84</v>
      </c>
      <c r="AA13" s="119">
        <f>IFERROR(SUM(I13:Z13)/SUM(I14:Z14),0)</f>
        <v>0.99637188208616778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7</v>
      </c>
      <c r="J14" s="44">
        <v>97</v>
      </c>
      <c r="K14" s="44">
        <v>62</v>
      </c>
      <c r="L14" s="44">
        <v>110</v>
      </c>
      <c r="M14" s="44">
        <v>119</v>
      </c>
      <c r="N14" s="44">
        <v>199</v>
      </c>
      <c r="O14" s="44">
        <v>130</v>
      </c>
      <c r="P14" s="44">
        <v>98</v>
      </c>
      <c r="Q14" s="44">
        <v>109</v>
      </c>
      <c r="R14" s="44">
        <v>97</v>
      </c>
      <c r="S14" s="44">
        <v>216</v>
      </c>
      <c r="T14" s="44">
        <v>132</v>
      </c>
      <c r="U14" s="44">
        <v>88</v>
      </c>
      <c r="V14" s="44">
        <v>86</v>
      </c>
      <c r="W14" s="44">
        <v>253</v>
      </c>
      <c r="X14" s="44">
        <v>193</v>
      </c>
      <c r="Y14" s="44">
        <v>125</v>
      </c>
      <c r="Z14" s="44">
        <v>84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7</v>
      </c>
      <c r="J16" s="24">
        <v>97</v>
      </c>
      <c r="K16" s="24">
        <v>62</v>
      </c>
      <c r="L16" s="24">
        <v>110</v>
      </c>
      <c r="M16" s="24">
        <v>119</v>
      </c>
      <c r="N16" s="24">
        <v>199</v>
      </c>
      <c r="O16" s="24">
        <v>130</v>
      </c>
      <c r="P16" s="24">
        <v>98</v>
      </c>
      <c r="Q16" s="24">
        <v>109</v>
      </c>
      <c r="R16" s="24">
        <v>97</v>
      </c>
      <c r="S16" s="24">
        <v>216</v>
      </c>
      <c r="T16" s="24">
        <v>132</v>
      </c>
      <c r="U16" s="24">
        <v>88</v>
      </c>
      <c r="V16" s="24">
        <v>86</v>
      </c>
      <c r="W16" s="24">
        <v>253</v>
      </c>
      <c r="X16" s="24">
        <v>193</v>
      </c>
      <c r="Y16" s="24">
        <v>125</v>
      </c>
      <c r="Z16" s="24">
        <v>84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7</v>
      </c>
      <c r="J17" s="44">
        <v>97</v>
      </c>
      <c r="K17" s="44">
        <v>62</v>
      </c>
      <c r="L17" s="44">
        <v>110</v>
      </c>
      <c r="M17" s="44">
        <v>119</v>
      </c>
      <c r="N17" s="44">
        <v>199</v>
      </c>
      <c r="O17" s="44">
        <v>130</v>
      </c>
      <c r="P17" s="44">
        <v>98</v>
      </c>
      <c r="Q17" s="44">
        <v>109</v>
      </c>
      <c r="R17" s="44">
        <v>97</v>
      </c>
      <c r="S17" s="44">
        <v>216</v>
      </c>
      <c r="T17" s="44">
        <v>132</v>
      </c>
      <c r="U17" s="44">
        <v>88</v>
      </c>
      <c r="V17" s="44">
        <v>86</v>
      </c>
      <c r="W17" s="44">
        <v>253</v>
      </c>
      <c r="X17" s="44">
        <v>193</v>
      </c>
      <c r="Y17" s="44">
        <v>125</v>
      </c>
      <c r="Z17" s="44">
        <v>84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95</v>
      </c>
      <c r="J19" s="24">
        <v>133</v>
      </c>
      <c r="K19" s="24">
        <v>41</v>
      </c>
      <c r="L19" s="24">
        <v>90</v>
      </c>
      <c r="M19" s="24">
        <v>710</v>
      </c>
      <c r="N19" s="24">
        <v>164</v>
      </c>
      <c r="O19" s="24">
        <v>113</v>
      </c>
      <c r="P19" s="24">
        <v>105</v>
      </c>
      <c r="Q19" s="24">
        <v>133</v>
      </c>
      <c r="R19" s="24">
        <v>127</v>
      </c>
      <c r="S19" s="24">
        <v>190</v>
      </c>
      <c r="T19" s="24">
        <v>122</v>
      </c>
      <c r="U19" s="24">
        <v>0</v>
      </c>
      <c r="V19" s="24">
        <v>163</v>
      </c>
      <c r="W19" s="24">
        <v>79</v>
      </c>
      <c r="X19" s="24">
        <v>318</v>
      </c>
      <c r="Y19" s="24">
        <v>94</v>
      </c>
      <c r="Z19" s="24">
        <v>129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95</v>
      </c>
      <c r="J20" s="44">
        <v>133</v>
      </c>
      <c r="K20" s="44">
        <v>41</v>
      </c>
      <c r="L20" s="44">
        <v>90</v>
      </c>
      <c r="M20" s="44">
        <v>710</v>
      </c>
      <c r="N20" s="44">
        <v>164</v>
      </c>
      <c r="O20" s="44">
        <v>113</v>
      </c>
      <c r="P20" s="44">
        <v>105</v>
      </c>
      <c r="Q20" s="44">
        <v>133</v>
      </c>
      <c r="R20" s="44">
        <v>127</v>
      </c>
      <c r="S20" s="44">
        <v>190</v>
      </c>
      <c r="T20" s="44">
        <v>122</v>
      </c>
      <c r="U20" s="44">
        <v>0</v>
      </c>
      <c r="V20" s="44">
        <v>163</v>
      </c>
      <c r="W20" s="44">
        <v>79</v>
      </c>
      <c r="X20" s="44">
        <v>318</v>
      </c>
      <c r="Y20" s="44">
        <v>94</v>
      </c>
      <c r="Z20" s="44">
        <v>129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477</v>
      </c>
      <c r="J22" s="24">
        <v>610</v>
      </c>
      <c r="K22" s="24">
        <v>648</v>
      </c>
      <c r="L22" s="24">
        <v>731</v>
      </c>
      <c r="M22" s="24">
        <v>852</v>
      </c>
      <c r="N22" s="24">
        <v>901</v>
      </c>
      <c r="O22" s="24">
        <v>741</v>
      </c>
      <c r="P22" s="24">
        <v>743</v>
      </c>
      <c r="Q22" s="24">
        <v>659</v>
      </c>
      <c r="R22" s="24">
        <v>663</v>
      </c>
      <c r="S22" s="24">
        <v>689</v>
      </c>
      <c r="T22" s="24">
        <v>647</v>
      </c>
      <c r="U22" s="24">
        <v>581</v>
      </c>
      <c r="V22" s="24">
        <v>682</v>
      </c>
      <c r="W22" s="24">
        <v>571</v>
      </c>
      <c r="X22" s="24">
        <v>719</v>
      </c>
      <c r="Y22" s="24">
        <v>631</v>
      </c>
      <c r="Z22" s="24">
        <v>700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477</v>
      </c>
      <c r="J23" s="44">
        <v>610</v>
      </c>
      <c r="K23" s="44">
        <v>648</v>
      </c>
      <c r="L23" s="44">
        <v>731</v>
      </c>
      <c r="M23" s="44">
        <v>852</v>
      </c>
      <c r="N23" s="44">
        <v>901</v>
      </c>
      <c r="O23" s="44">
        <v>741</v>
      </c>
      <c r="P23" s="44">
        <v>743</v>
      </c>
      <c r="Q23" s="44">
        <v>659</v>
      </c>
      <c r="R23" s="44">
        <v>663</v>
      </c>
      <c r="S23" s="44">
        <v>689</v>
      </c>
      <c r="T23" s="44">
        <v>647</v>
      </c>
      <c r="U23" s="44">
        <v>581</v>
      </c>
      <c r="V23" s="44">
        <v>682</v>
      </c>
      <c r="W23" s="44">
        <v>571</v>
      </c>
      <c r="X23" s="44">
        <v>719</v>
      </c>
      <c r="Y23" s="44">
        <v>631</v>
      </c>
      <c r="Z23" s="44">
        <v>700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3</v>
      </c>
      <c r="J25" s="24">
        <v>0</v>
      </c>
      <c r="K25" s="24">
        <v>0</v>
      </c>
      <c r="L25" s="24">
        <v>7</v>
      </c>
      <c r="M25" s="24">
        <v>64</v>
      </c>
      <c r="N25" s="24">
        <v>115</v>
      </c>
      <c r="O25" s="24">
        <v>273</v>
      </c>
      <c r="P25" s="24">
        <v>103</v>
      </c>
      <c r="Q25" s="24">
        <v>217</v>
      </c>
      <c r="R25" s="24">
        <v>123</v>
      </c>
      <c r="S25" s="24">
        <v>159</v>
      </c>
      <c r="T25" s="24">
        <v>164</v>
      </c>
      <c r="U25" s="24">
        <v>66</v>
      </c>
      <c r="V25" s="24">
        <v>62</v>
      </c>
      <c r="W25" s="24">
        <v>188</v>
      </c>
      <c r="X25" s="24">
        <v>170</v>
      </c>
      <c r="Y25" s="24">
        <v>182</v>
      </c>
      <c r="Z25" s="24">
        <v>60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3</v>
      </c>
      <c r="J26" s="44">
        <v>0</v>
      </c>
      <c r="K26" s="44">
        <v>0</v>
      </c>
      <c r="L26" s="44">
        <v>7</v>
      </c>
      <c r="M26" s="44">
        <v>64</v>
      </c>
      <c r="N26" s="44">
        <v>115</v>
      </c>
      <c r="O26" s="44">
        <v>273</v>
      </c>
      <c r="P26" s="44">
        <v>103</v>
      </c>
      <c r="Q26" s="44">
        <v>217</v>
      </c>
      <c r="R26" s="44">
        <v>123</v>
      </c>
      <c r="S26" s="44">
        <v>159</v>
      </c>
      <c r="T26" s="44">
        <v>164</v>
      </c>
      <c r="U26" s="44">
        <v>66</v>
      </c>
      <c r="V26" s="44">
        <v>62</v>
      </c>
      <c r="W26" s="44">
        <v>188</v>
      </c>
      <c r="X26" s="44">
        <v>170</v>
      </c>
      <c r="Y26" s="44">
        <v>182</v>
      </c>
      <c r="Z26" s="44">
        <v>60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AA25:AA26"/>
    <mergeCell ref="I29:L29"/>
    <mergeCell ref="B34:M34"/>
    <mergeCell ref="B35:G35"/>
    <mergeCell ref="H35:M35"/>
    <mergeCell ref="B36:G37"/>
    <mergeCell ref="H36:M37"/>
    <mergeCell ref="G22:G23"/>
    <mergeCell ref="AA22:AA23"/>
    <mergeCell ref="A24:AA24"/>
    <mergeCell ref="A25:A26"/>
    <mergeCell ref="B25:B26"/>
    <mergeCell ref="C25:C26"/>
    <mergeCell ref="D25:D26"/>
    <mergeCell ref="E25:E26"/>
    <mergeCell ref="F25:F26"/>
    <mergeCell ref="G25:G26"/>
    <mergeCell ref="A22:A23"/>
    <mergeCell ref="B22:B23"/>
    <mergeCell ref="C22:C23"/>
    <mergeCell ref="D22:D23"/>
    <mergeCell ref="E22:E23"/>
    <mergeCell ref="F22:F23"/>
    <mergeCell ref="A18:AA18"/>
    <mergeCell ref="A19:A20"/>
    <mergeCell ref="B19:B20"/>
    <mergeCell ref="C19:C20"/>
    <mergeCell ref="D19:D20"/>
    <mergeCell ref="E19:E20"/>
    <mergeCell ref="F19:F20"/>
    <mergeCell ref="G19:G20"/>
    <mergeCell ref="AA19:AA20"/>
    <mergeCell ref="A15:AA15"/>
    <mergeCell ref="A16:A17"/>
    <mergeCell ref="B16:B17"/>
    <mergeCell ref="C16:C17"/>
    <mergeCell ref="D16:D17"/>
    <mergeCell ref="E16:E17"/>
    <mergeCell ref="F16:F17"/>
    <mergeCell ref="G16:G17"/>
    <mergeCell ref="AA16:AA17"/>
    <mergeCell ref="A10:A11"/>
    <mergeCell ref="B10:B11"/>
    <mergeCell ref="C10:C11"/>
    <mergeCell ref="D10:D11"/>
    <mergeCell ref="E10:E11"/>
    <mergeCell ref="A12:AA12"/>
    <mergeCell ref="A13:A14"/>
    <mergeCell ref="B13:B14"/>
    <mergeCell ref="C13:C14"/>
    <mergeCell ref="D13:D14"/>
    <mergeCell ref="E13:E14"/>
    <mergeCell ref="F13:F14"/>
    <mergeCell ref="G13:G14"/>
    <mergeCell ref="AA13:AA14"/>
    <mergeCell ref="AA10:AA11"/>
    <mergeCell ref="F10:F11"/>
    <mergeCell ref="AA6:AA9"/>
    <mergeCell ref="B7:D7"/>
    <mergeCell ref="A1:AA1"/>
    <mergeCell ref="F2:G2"/>
    <mergeCell ref="W2:AA2"/>
    <mergeCell ref="A4:AA4"/>
    <mergeCell ref="A5:AA5"/>
    <mergeCell ref="E7:H7"/>
    <mergeCell ref="I7:Z7"/>
    <mergeCell ref="B8:Z8"/>
    <mergeCell ref="A6:A9"/>
    <mergeCell ref="B6:H6"/>
    <mergeCell ref="I6:Z6"/>
    <mergeCell ref="G10:G11"/>
  </mergeCells>
  <conditionalFormatting sqref="I21:Z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526" priority="15" operator="greaterThan">
      <formula>95%</formula>
    </cfRule>
    <cfRule type="cellIs" dxfId="525" priority="16" operator="greaterThanOrEqual">
      <formula>90%</formula>
    </cfRule>
    <cfRule type="cellIs" dxfId="524" priority="17" operator="lessThan">
      <formula>89.99%</formula>
    </cfRule>
  </conditionalFormatting>
  <conditionalFormatting sqref="AA13">
    <cfRule type="cellIs" dxfId="523" priority="12" operator="greaterThan">
      <formula>95%</formula>
    </cfRule>
    <cfRule type="cellIs" dxfId="522" priority="13" operator="greaterThanOrEqual">
      <formula>90%</formula>
    </cfRule>
    <cfRule type="cellIs" dxfId="521" priority="14" operator="lessThan">
      <formula>89.99%</formula>
    </cfRule>
  </conditionalFormatting>
  <conditionalFormatting sqref="AA16">
    <cfRule type="cellIs" dxfId="520" priority="9" operator="greaterThan">
      <formula>95%</formula>
    </cfRule>
    <cfRule type="cellIs" dxfId="519" priority="10" operator="greaterThanOrEqual">
      <formula>90%</formula>
    </cfRule>
    <cfRule type="cellIs" dxfId="518" priority="11" operator="lessThan">
      <formula>89.99%</formula>
    </cfRule>
  </conditionalFormatting>
  <conditionalFormatting sqref="AA19">
    <cfRule type="cellIs" dxfId="517" priority="6" operator="greaterThan">
      <formula>95%</formula>
    </cfRule>
    <cfRule type="cellIs" dxfId="516" priority="7" operator="greaterThanOrEqual">
      <formula>90%</formula>
    </cfRule>
    <cfRule type="cellIs" dxfId="515" priority="8" operator="lessThan">
      <formula>89.99%</formula>
    </cfRule>
  </conditionalFormatting>
  <conditionalFormatting sqref="AA22">
    <cfRule type="cellIs" dxfId="514" priority="1" operator="greaterThanOrEqual">
      <formula>100%</formula>
    </cfRule>
    <cfRule type="cellIs" dxfId="513" priority="2" operator="lessThan">
      <formula>99.99%</formula>
    </cfRule>
  </conditionalFormatting>
  <conditionalFormatting sqref="AA25">
    <cfRule type="cellIs" dxfId="512" priority="3" operator="greaterThan">
      <formula>95%</formula>
    </cfRule>
    <cfRule type="cellIs" dxfId="511" priority="4" operator="greaterThanOrEqual">
      <formula>90%</formula>
    </cfRule>
    <cfRule type="cellIs" dxfId="510" priority="5" operator="lessThan">
      <formula>89.99%</formula>
    </cfRule>
  </conditionalFormatting>
  <dataValidations count="1">
    <dataValidation showDropDown="1" showInputMessage="1" showErrorMessage="1" sqref="C21 G19:G23 G10:G11 G16:G17 G13:G14 G25:G26" xr:uid="{2940C8FC-93E8-4A6D-867A-45F1F12AB5F2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50"/>
  </sheetPr>
  <dimension ref="A1:AM38"/>
  <sheetViews>
    <sheetView showGridLines="0" topLeftCell="A10" zoomScale="71" zoomScaleNormal="71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3</v>
      </c>
      <c r="F2" s="129" t="s">
        <v>25</v>
      </c>
      <c r="G2" s="129"/>
      <c r="H2" s="22">
        <v>160354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7</v>
      </c>
      <c r="J10" s="24">
        <v>62</v>
      </c>
      <c r="K10" s="24">
        <v>77</v>
      </c>
      <c r="L10" s="24">
        <v>255</v>
      </c>
      <c r="M10" s="24">
        <v>126</v>
      </c>
      <c r="N10" s="24">
        <v>90</v>
      </c>
      <c r="O10" s="24">
        <v>112</v>
      </c>
      <c r="P10" s="24">
        <v>107</v>
      </c>
      <c r="Q10" s="24">
        <v>161</v>
      </c>
      <c r="R10" s="24">
        <v>83</v>
      </c>
      <c r="S10" s="24">
        <v>190</v>
      </c>
      <c r="T10" s="24">
        <v>133</v>
      </c>
      <c r="U10" s="24">
        <v>66</v>
      </c>
      <c r="V10" s="24">
        <v>252</v>
      </c>
      <c r="W10" s="24">
        <v>220</v>
      </c>
      <c r="X10" s="24">
        <v>154</v>
      </c>
      <c r="Y10" s="24">
        <v>179</v>
      </c>
      <c r="Z10" s="24">
        <v>89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7</v>
      </c>
      <c r="J11" s="44">
        <v>62</v>
      </c>
      <c r="K11" s="44">
        <v>77</v>
      </c>
      <c r="L11" s="44">
        <v>255</v>
      </c>
      <c r="M11" s="44">
        <v>126</v>
      </c>
      <c r="N11" s="44">
        <v>90</v>
      </c>
      <c r="O11" s="44">
        <v>112</v>
      </c>
      <c r="P11" s="44">
        <v>107</v>
      </c>
      <c r="Q11" s="44">
        <v>161</v>
      </c>
      <c r="R11" s="44">
        <v>83</v>
      </c>
      <c r="S11" s="44">
        <v>190</v>
      </c>
      <c r="T11" s="44">
        <v>133</v>
      </c>
      <c r="U11" s="44">
        <v>66</v>
      </c>
      <c r="V11" s="44">
        <v>252</v>
      </c>
      <c r="W11" s="44">
        <v>220</v>
      </c>
      <c r="X11" s="44">
        <v>154</v>
      </c>
      <c r="Y11" s="44">
        <v>179</v>
      </c>
      <c r="Z11" s="44">
        <v>89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7</v>
      </c>
      <c r="J13" s="24">
        <v>61</v>
      </c>
      <c r="K13" s="24">
        <v>77</v>
      </c>
      <c r="L13" s="24">
        <v>254</v>
      </c>
      <c r="M13" s="24">
        <v>125</v>
      </c>
      <c r="N13" s="24">
        <v>90</v>
      </c>
      <c r="O13" s="24">
        <v>112</v>
      </c>
      <c r="P13" s="24">
        <v>106</v>
      </c>
      <c r="Q13" s="24">
        <v>161</v>
      </c>
      <c r="R13" s="24">
        <v>82</v>
      </c>
      <c r="S13" s="24">
        <v>187</v>
      </c>
      <c r="T13" s="24">
        <v>133</v>
      </c>
      <c r="U13" s="24">
        <v>66</v>
      </c>
      <c r="V13" s="24">
        <v>252</v>
      </c>
      <c r="W13" s="24">
        <v>220</v>
      </c>
      <c r="X13" s="24">
        <v>153</v>
      </c>
      <c r="Y13" s="24">
        <v>179</v>
      </c>
      <c r="Z13" s="24">
        <v>89</v>
      </c>
      <c r="AA13" s="119">
        <f>IFERROR(SUM(I13:Z13)/SUM(I14:Z14),0)</f>
        <v>0.996191282268303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7</v>
      </c>
      <c r="J14" s="44">
        <v>62</v>
      </c>
      <c r="K14" s="44">
        <v>77</v>
      </c>
      <c r="L14" s="44">
        <v>255</v>
      </c>
      <c r="M14" s="44">
        <v>126</v>
      </c>
      <c r="N14" s="44">
        <v>90</v>
      </c>
      <c r="O14" s="44">
        <v>112</v>
      </c>
      <c r="P14" s="44">
        <v>107</v>
      </c>
      <c r="Q14" s="44">
        <v>161</v>
      </c>
      <c r="R14" s="44">
        <v>83</v>
      </c>
      <c r="S14" s="44">
        <v>190</v>
      </c>
      <c r="T14" s="44">
        <v>133</v>
      </c>
      <c r="U14" s="44">
        <v>66</v>
      </c>
      <c r="V14" s="44">
        <v>252</v>
      </c>
      <c r="W14" s="44">
        <v>220</v>
      </c>
      <c r="X14" s="44">
        <v>154</v>
      </c>
      <c r="Y14" s="44">
        <v>179</v>
      </c>
      <c r="Z14" s="44">
        <v>89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7</v>
      </c>
      <c r="J16" s="24">
        <v>62</v>
      </c>
      <c r="K16" s="24">
        <v>77</v>
      </c>
      <c r="L16" s="24">
        <v>255</v>
      </c>
      <c r="M16" s="24">
        <v>126</v>
      </c>
      <c r="N16" s="24">
        <v>90</v>
      </c>
      <c r="O16" s="24">
        <v>112</v>
      </c>
      <c r="P16" s="24">
        <v>107</v>
      </c>
      <c r="Q16" s="24">
        <v>161</v>
      </c>
      <c r="R16" s="24">
        <v>83</v>
      </c>
      <c r="S16" s="24">
        <v>190</v>
      </c>
      <c r="T16" s="24">
        <v>133</v>
      </c>
      <c r="U16" s="24">
        <v>66</v>
      </c>
      <c r="V16" s="24">
        <v>252</v>
      </c>
      <c r="W16" s="24">
        <v>220</v>
      </c>
      <c r="X16" s="24">
        <v>154</v>
      </c>
      <c r="Y16" s="24">
        <v>179</v>
      </c>
      <c r="Z16" s="24">
        <v>89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7</v>
      </c>
      <c r="J17" s="44">
        <v>62</v>
      </c>
      <c r="K17" s="44">
        <v>77</v>
      </c>
      <c r="L17" s="44">
        <v>255</v>
      </c>
      <c r="M17" s="44">
        <v>126</v>
      </c>
      <c r="N17" s="44">
        <v>90</v>
      </c>
      <c r="O17" s="44">
        <v>112</v>
      </c>
      <c r="P17" s="44">
        <v>107</v>
      </c>
      <c r="Q17" s="44">
        <v>161</v>
      </c>
      <c r="R17" s="44">
        <v>83</v>
      </c>
      <c r="S17" s="44">
        <v>190</v>
      </c>
      <c r="T17" s="44">
        <v>133</v>
      </c>
      <c r="U17" s="44">
        <v>66</v>
      </c>
      <c r="V17" s="44">
        <v>252</v>
      </c>
      <c r="W17" s="44">
        <v>220</v>
      </c>
      <c r="X17" s="44">
        <v>154</v>
      </c>
      <c r="Y17" s="44">
        <v>179</v>
      </c>
      <c r="Z17" s="44">
        <v>89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12</v>
      </c>
      <c r="J19" s="24">
        <v>38</v>
      </c>
      <c r="K19" s="24">
        <v>55</v>
      </c>
      <c r="L19" s="24">
        <v>79</v>
      </c>
      <c r="M19" s="24">
        <v>807</v>
      </c>
      <c r="N19" s="24">
        <v>103</v>
      </c>
      <c r="O19" s="24">
        <v>99</v>
      </c>
      <c r="P19" s="24">
        <v>121</v>
      </c>
      <c r="Q19" s="24">
        <v>155</v>
      </c>
      <c r="R19" s="24">
        <v>103</v>
      </c>
      <c r="S19" s="24">
        <v>155</v>
      </c>
      <c r="T19" s="24">
        <v>152</v>
      </c>
      <c r="U19" s="24">
        <v>48</v>
      </c>
      <c r="V19" s="24">
        <v>191</v>
      </c>
      <c r="W19" s="24">
        <v>158</v>
      </c>
      <c r="X19" s="24">
        <v>221</v>
      </c>
      <c r="Y19" s="24">
        <v>155</v>
      </c>
      <c r="Z19" s="24">
        <v>118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12</v>
      </c>
      <c r="J20" s="44">
        <v>38</v>
      </c>
      <c r="K20" s="44">
        <v>55</v>
      </c>
      <c r="L20" s="44">
        <v>79</v>
      </c>
      <c r="M20" s="44">
        <v>807</v>
      </c>
      <c r="N20" s="44">
        <v>103</v>
      </c>
      <c r="O20" s="44">
        <v>99</v>
      </c>
      <c r="P20" s="44">
        <v>121</v>
      </c>
      <c r="Q20" s="44">
        <v>155</v>
      </c>
      <c r="R20" s="44">
        <v>103</v>
      </c>
      <c r="S20" s="44">
        <v>155</v>
      </c>
      <c r="T20" s="44">
        <v>152</v>
      </c>
      <c r="U20" s="44">
        <v>48</v>
      </c>
      <c r="V20" s="44">
        <v>191</v>
      </c>
      <c r="W20" s="44">
        <v>158</v>
      </c>
      <c r="X20" s="44">
        <v>221</v>
      </c>
      <c r="Y20" s="44">
        <v>155</v>
      </c>
      <c r="Z20" s="44">
        <v>118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282</v>
      </c>
      <c r="J22" s="24">
        <v>200</v>
      </c>
      <c r="K22" s="24">
        <v>164</v>
      </c>
      <c r="L22" s="24">
        <v>241</v>
      </c>
      <c r="M22" s="24">
        <v>789</v>
      </c>
      <c r="N22" s="24">
        <v>770</v>
      </c>
      <c r="O22" s="24">
        <v>786</v>
      </c>
      <c r="P22" s="24">
        <v>759</v>
      </c>
      <c r="Q22" s="24">
        <v>622</v>
      </c>
      <c r="R22" s="24">
        <v>613</v>
      </c>
      <c r="S22" s="24">
        <v>669</v>
      </c>
      <c r="T22" s="24">
        <v>684</v>
      </c>
      <c r="U22" s="24">
        <v>679</v>
      </c>
      <c r="V22" s="24">
        <v>725</v>
      </c>
      <c r="W22" s="24">
        <v>721</v>
      </c>
      <c r="X22" s="24">
        <v>800</v>
      </c>
      <c r="Y22" s="24">
        <v>792</v>
      </c>
      <c r="Z22" s="24">
        <v>860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282</v>
      </c>
      <c r="J23" s="44">
        <v>200</v>
      </c>
      <c r="K23" s="44">
        <v>164</v>
      </c>
      <c r="L23" s="44">
        <v>241</v>
      </c>
      <c r="M23" s="44">
        <v>789</v>
      </c>
      <c r="N23" s="44">
        <v>770</v>
      </c>
      <c r="O23" s="44">
        <v>786</v>
      </c>
      <c r="P23" s="44">
        <v>759</v>
      </c>
      <c r="Q23" s="44">
        <v>622</v>
      </c>
      <c r="R23" s="44">
        <v>613</v>
      </c>
      <c r="S23" s="44">
        <v>669</v>
      </c>
      <c r="T23" s="44">
        <v>684</v>
      </c>
      <c r="U23" s="44">
        <v>679</v>
      </c>
      <c r="V23" s="44">
        <v>725</v>
      </c>
      <c r="W23" s="44">
        <v>721</v>
      </c>
      <c r="X23" s="44">
        <v>800</v>
      </c>
      <c r="Y23" s="44">
        <v>792</v>
      </c>
      <c r="Z23" s="44">
        <v>860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30</v>
      </c>
      <c r="J25" s="24">
        <v>120</v>
      </c>
      <c r="K25" s="24">
        <v>88</v>
      </c>
      <c r="L25" s="24">
        <v>2</v>
      </c>
      <c r="M25" s="24">
        <v>210</v>
      </c>
      <c r="N25" s="24">
        <v>122</v>
      </c>
      <c r="O25" s="24">
        <v>83</v>
      </c>
      <c r="P25" s="24">
        <v>148</v>
      </c>
      <c r="Q25" s="24">
        <v>292</v>
      </c>
      <c r="R25" s="24">
        <v>112</v>
      </c>
      <c r="S25" s="24">
        <v>155</v>
      </c>
      <c r="T25" s="24">
        <v>137</v>
      </c>
      <c r="U25" s="24">
        <v>53</v>
      </c>
      <c r="V25" s="24">
        <v>145</v>
      </c>
      <c r="W25" s="24">
        <v>161</v>
      </c>
      <c r="X25" s="24">
        <v>142</v>
      </c>
      <c r="Y25" s="24">
        <v>163</v>
      </c>
      <c r="Z25" s="24">
        <v>50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30</v>
      </c>
      <c r="J26" s="44">
        <v>120</v>
      </c>
      <c r="K26" s="44">
        <v>88</v>
      </c>
      <c r="L26" s="44">
        <v>2</v>
      </c>
      <c r="M26" s="44">
        <v>210</v>
      </c>
      <c r="N26" s="44">
        <v>122</v>
      </c>
      <c r="O26" s="44">
        <v>83</v>
      </c>
      <c r="P26" s="44">
        <v>148</v>
      </c>
      <c r="Q26" s="44">
        <v>292</v>
      </c>
      <c r="R26" s="44">
        <v>112</v>
      </c>
      <c r="S26" s="44">
        <v>155</v>
      </c>
      <c r="T26" s="44">
        <v>137</v>
      </c>
      <c r="U26" s="44">
        <v>53</v>
      </c>
      <c r="V26" s="44">
        <v>145</v>
      </c>
      <c r="W26" s="44">
        <v>161</v>
      </c>
      <c r="X26" s="44">
        <v>142</v>
      </c>
      <c r="Y26" s="44">
        <v>163</v>
      </c>
      <c r="Z26" s="44">
        <v>50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G25:G26"/>
    <mergeCell ref="AA25:AA26"/>
    <mergeCell ref="A24:AA24"/>
    <mergeCell ref="A25:A26"/>
    <mergeCell ref="B25:B26"/>
    <mergeCell ref="C25:C26"/>
    <mergeCell ref="D25:D26"/>
    <mergeCell ref="E25:E26"/>
    <mergeCell ref="F25:F26"/>
    <mergeCell ref="E22:E23"/>
    <mergeCell ref="F19:F20"/>
    <mergeCell ref="G19:G20"/>
    <mergeCell ref="AA19:AA20"/>
    <mergeCell ref="A19:A20"/>
    <mergeCell ref="B19:B20"/>
    <mergeCell ref="C19:C20"/>
    <mergeCell ref="D19:D20"/>
    <mergeCell ref="E19:E20"/>
    <mergeCell ref="F22:F23"/>
    <mergeCell ref="G22:G23"/>
    <mergeCell ref="AA22:AA23"/>
    <mergeCell ref="A22:A23"/>
    <mergeCell ref="B22:B23"/>
    <mergeCell ref="C22:C23"/>
    <mergeCell ref="D22:D23"/>
    <mergeCell ref="F16:F17"/>
    <mergeCell ref="G16:G17"/>
    <mergeCell ref="AA16:AA17"/>
    <mergeCell ref="A18:AA18"/>
    <mergeCell ref="A16:A17"/>
    <mergeCell ref="B16:B17"/>
    <mergeCell ref="C16:C17"/>
    <mergeCell ref="D16:D17"/>
    <mergeCell ref="E16:E17"/>
    <mergeCell ref="F13:F14"/>
    <mergeCell ref="G13:G14"/>
    <mergeCell ref="AA13:AA14"/>
    <mergeCell ref="A15:AA15"/>
    <mergeCell ref="A13:A14"/>
    <mergeCell ref="B13:B14"/>
    <mergeCell ref="C13:C14"/>
    <mergeCell ref="D13:D14"/>
    <mergeCell ref="E13:E14"/>
    <mergeCell ref="A12:AA12"/>
    <mergeCell ref="A10:A11"/>
    <mergeCell ref="B10:B11"/>
    <mergeCell ref="C10:C11"/>
    <mergeCell ref="D10:D11"/>
    <mergeCell ref="E10:E11"/>
    <mergeCell ref="A1:AA1"/>
    <mergeCell ref="F2:G2"/>
    <mergeCell ref="A4:AA4"/>
    <mergeCell ref="A5:AA5"/>
    <mergeCell ref="F10:F11"/>
    <mergeCell ref="G10:G11"/>
    <mergeCell ref="AA10:AA11"/>
    <mergeCell ref="A6:A9"/>
    <mergeCell ref="B6:H6"/>
    <mergeCell ref="I6:Z6"/>
    <mergeCell ref="AA6:AA9"/>
    <mergeCell ref="B7:D7"/>
    <mergeCell ref="E7:H7"/>
    <mergeCell ref="I7:Z7"/>
    <mergeCell ref="B8:Z8"/>
    <mergeCell ref="W2:AA2"/>
    <mergeCell ref="I29:L29"/>
    <mergeCell ref="B34:M34"/>
    <mergeCell ref="B35:G35"/>
    <mergeCell ref="H35:M35"/>
    <mergeCell ref="B36:G37"/>
    <mergeCell ref="H36:M37"/>
  </mergeCells>
  <conditionalFormatting sqref="I21:Z21">
    <cfRule type="colorScale" priority="3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509" priority="18" operator="greaterThan">
      <formula>95%</formula>
    </cfRule>
    <cfRule type="cellIs" dxfId="508" priority="19" operator="greaterThanOrEqual">
      <formula>90%</formula>
    </cfRule>
    <cfRule type="cellIs" dxfId="507" priority="20" operator="lessThan">
      <formula>89.99%</formula>
    </cfRule>
  </conditionalFormatting>
  <conditionalFormatting sqref="AA13">
    <cfRule type="cellIs" dxfId="506" priority="15" operator="greaterThan">
      <formula>95%</formula>
    </cfRule>
    <cfRule type="cellIs" dxfId="505" priority="16" operator="greaterThanOrEqual">
      <formula>90%</formula>
    </cfRule>
    <cfRule type="cellIs" dxfId="504" priority="17" operator="lessThan">
      <formula>89.99%</formula>
    </cfRule>
  </conditionalFormatting>
  <conditionalFormatting sqref="AA16">
    <cfRule type="cellIs" dxfId="503" priority="12" operator="greaterThan">
      <formula>95%</formula>
    </cfRule>
    <cfRule type="cellIs" dxfId="502" priority="13" operator="greaterThanOrEqual">
      <formula>90%</formula>
    </cfRule>
    <cfRule type="cellIs" dxfId="501" priority="14" operator="lessThan">
      <formula>89.99%</formula>
    </cfRule>
  </conditionalFormatting>
  <conditionalFormatting sqref="AA19">
    <cfRule type="cellIs" dxfId="500" priority="9" operator="greaterThan">
      <formula>95%</formula>
    </cfRule>
    <cfRule type="cellIs" dxfId="499" priority="10" operator="greaterThanOrEqual">
      <formula>90%</formula>
    </cfRule>
    <cfRule type="cellIs" dxfId="498" priority="11" operator="lessThan">
      <formula>89.99%</formula>
    </cfRule>
  </conditionalFormatting>
  <conditionalFormatting sqref="AA22">
    <cfRule type="cellIs" dxfId="497" priority="1" operator="greaterThanOrEqual">
      <formula>100%</formula>
    </cfRule>
    <cfRule type="cellIs" dxfId="496" priority="2" operator="lessThan">
      <formula>99.99%</formula>
    </cfRule>
  </conditionalFormatting>
  <conditionalFormatting sqref="AA25">
    <cfRule type="cellIs" dxfId="495" priority="3" operator="greaterThan">
      <formula>95%</formula>
    </cfRule>
    <cfRule type="cellIs" dxfId="494" priority="4" operator="greaterThanOrEqual">
      <formula>90%</formula>
    </cfRule>
    <cfRule type="cellIs" dxfId="493" priority="5" operator="lessThan">
      <formula>89.99%</formula>
    </cfRule>
  </conditionalFormatting>
  <dataValidations count="1">
    <dataValidation showDropDown="1" showInputMessage="1" showErrorMessage="1" sqref="C21 G19:G23 G10:G11 G16:G17 G13:G14 G25:G26" xr:uid="{D9E505B6-6B5E-4CCB-928C-09F35D7A4873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3F167-61FE-4DDB-9E13-5F89ACE6B79A}">
  <sheetPr>
    <tabColor rgb="FF00B050"/>
  </sheetPr>
  <dimension ref="A1:AM38"/>
  <sheetViews>
    <sheetView showGridLines="0" topLeftCell="A4" zoomScale="66" zoomScaleNormal="66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3</v>
      </c>
      <c r="F2" s="129" t="s">
        <v>25</v>
      </c>
      <c r="G2" s="129"/>
      <c r="H2" s="22">
        <v>160354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42</v>
      </c>
      <c r="J10" s="24">
        <v>246</v>
      </c>
      <c r="K10" s="24">
        <v>249</v>
      </c>
      <c r="L10" s="24">
        <v>286</v>
      </c>
      <c r="M10" s="24">
        <v>311</v>
      </c>
      <c r="N10" s="24">
        <v>277</v>
      </c>
      <c r="O10" s="24">
        <v>294</v>
      </c>
      <c r="P10" s="24">
        <v>306</v>
      </c>
      <c r="Q10" s="24">
        <v>289</v>
      </c>
      <c r="R10" s="24">
        <v>201</v>
      </c>
      <c r="S10" s="24">
        <v>361</v>
      </c>
      <c r="T10" s="24">
        <v>380</v>
      </c>
      <c r="U10" s="24">
        <v>316</v>
      </c>
      <c r="V10" s="24">
        <v>439</v>
      </c>
      <c r="W10" s="24">
        <v>455</v>
      </c>
      <c r="X10" s="24">
        <v>421</v>
      </c>
      <c r="Y10" s="24">
        <v>587</v>
      </c>
      <c r="Z10" s="24">
        <v>431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42</v>
      </c>
      <c r="J11" s="44">
        <v>246</v>
      </c>
      <c r="K11" s="44">
        <v>249</v>
      </c>
      <c r="L11" s="44">
        <v>286</v>
      </c>
      <c r="M11" s="44">
        <v>311</v>
      </c>
      <c r="N11" s="44">
        <v>277</v>
      </c>
      <c r="O11" s="44">
        <v>294</v>
      </c>
      <c r="P11" s="44">
        <v>306</v>
      </c>
      <c r="Q11" s="44">
        <v>289</v>
      </c>
      <c r="R11" s="44">
        <v>201</v>
      </c>
      <c r="S11" s="44">
        <v>361</v>
      </c>
      <c r="T11" s="44">
        <v>380</v>
      </c>
      <c r="U11" s="44">
        <v>316</v>
      </c>
      <c r="V11" s="44">
        <v>439</v>
      </c>
      <c r="W11" s="44">
        <v>455</v>
      </c>
      <c r="X11" s="44">
        <v>421</v>
      </c>
      <c r="Y11" s="44">
        <v>587</v>
      </c>
      <c r="Z11" s="44">
        <v>431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42</v>
      </c>
      <c r="J13" s="24">
        <v>245</v>
      </c>
      <c r="K13" s="24">
        <v>249</v>
      </c>
      <c r="L13" s="24">
        <v>284</v>
      </c>
      <c r="M13" s="24">
        <v>308</v>
      </c>
      <c r="N13" s="24">
        <v>277</v>
      </c>
      <c r="O13" s="24">
        <v>293</v>
      </c>
      <c r="P13" s="24">
        <v>306</v>
      </c>
      <c r="Q13" s="24">
        <v>288</v>
      </c>
      <c r="R13" s="24">
        <v>201</v>
      </c>
      <c r="S13" s="24">
        <v>361</v>
      </c>
      <c r="T13" s="24">
        <v>377</v>
      </c>
      <c r="U13" s="24">
        <v>315</v>
      </c>
      <c r="V13" s="24">
        <v>435</v>
      </c>
      <c r="W13" s="24">
        <v>454</v>
      </c>
      <c r="X13" s="24">
        <v>420</v>
      </c>
      <c r="Y13" s="24">
        <v>578</v>
      </c>
      <c r="Z13" s="24">
        <v>422</v>
      </c>
      <c r="AA13" s="119">
        <f>IFERROR(SUM(I13:Z13)/SUM(I14:Z14),0)</f>
        <v>0.99388898319470376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42</v>
      </c>
      <c r="J14" s="44">
        <v>246</v>
      </c>
      <c r="K14" s="44">
        <v>249</v>
      </c>
      <c r="L14" s="44">
        <v>286</v>
      </c>
      <c r="M14" s="44">
        <v>311</v>
      </c>
      <c r="N14" s="44">
        <v>277</v>
      </c>
      <c r="O14" s="44">
        <v>294</v>
      </c>
      <c r="P14" s="44">
        <v>306</v>
      </c>
      <c r="Q14" s="44">
        <v>289</v>
      </c>
      <c r="R14" s="44">
        <v>201</v>
      </c>
      <c r="S14" s="44">
        <v>361</v>
      </c>
      <c r="T14" s="44">
        <v>380</v>
      </c>
      <c r="U14" s="44">
        <v>316</v>
      </c>
      <c r="V14" s="44">
        <v>439</v>
      </c>
      <c r="W14" s="44">
        <v>455</v>
      </c>
      <c r="X14" s="44">
        <v>421</v>
      </c>
      <c r="Y14" s="44">
        <v>587</v>
      </c>
      <c r="Z14" s="44">
        <v>431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42</v>
      </c>
      <c r="J16" s="24">
        <v>246</v>
      </c>
      <c r="K16" s="24">
        <v>249</v>
      </c>
      <c r="L16" s="24">
        <v>286</v>
      </c>
      <c r="M16" s="24">
        <v>311</v>
      </c>
      <c r="N16" s="24">
        <v>277</v>
      </c>
      <c r="O16" s="24">
        <v>294</v>
      </c>
      <c r="P16" s="24">
        <v>306</v>
      </c>
      <c r="Q16" s="24">
        <v>289</v>
      </c>
      <c r="R16" s="24">
        <v>201</v>
      </c>
      <c r="S16" s="24">
        <v>361</v>
      </c>
      <c r="T16" s="24">
        <v>380</v>
      </c>
      <c r="U16" s="24">
        <v>316</v>
      </c>
      <c r="V16" s="24">
        <v>439</v>
      </c>
      <c r="W16" s="24">
        <v>455</v>
      </c>
      <c r="X16" s="24">
        <v>421</v>
      </c>
      <c r="Y16" s="24">
        <v>587</v>
      </c>
      <c r="Z16" s="24">
        <v>431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42</v>
      </c>
      <c r="J17" s="44">
        <v>246</v>
      </c>
      <c r="K17" s="44">
        <v>249</v>
      </c>
      <c r="L17" s="44">
        <v>286</v>
      </c>
      <c r="M17" s="44">
        <v>311</v>
      </c>
      <c r="N17" s="44">
        <v>277</v>
      </c>
      <c r="O17" s="44">
        <v>294</v>
      </c>
      <c r="P17" s="44">
        <v>306</v>
      </c>
      <c r="Q17" s="44">
        <v>289</v>
      </c>
      <c r="R17" s="44">
        <v>201</v>
      </c>
      <c r="S17" s="44">
        <v>361</v>
      </c>
      <c r="T17" s="44">
        <v>380</v>
      </c>
      <c r="U17" s="44">
        <v>316</v>
      </c>
      <c r="V17" s="44">
        <v>439</v>
      </c>
      <c r="W17" s="44">
        <v>455</v>
      </c>
      <c r="X17" s="44">
        <v>421</v>
      </c>
      <c r="Y17" s="44">
        <v>587</v>
      </c>
      <c r="Z17" s="44">
        <v>431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0</v>
      </c>
      <c r="J19" s="24">
        <v>268</v>
      </c>
      <c r="K19" s="24">
        <v>203</v>
      </c>
      <c r="L19" s="24">
        <v>323</v>
      </c>
      <c r="M19" s="24">
        <v>285</v>
      </c>
      <c r="N19" s="24">
        <v>296</v>
      </c>
      <c r="O19" s="24">
        <v>305</v>
      </c>
      <c r="P19" s="24">
        <v>270</v>
      </c>
      <c r="Q19" s="24">
        <v>346</v>
      </c>
      <c r="R19" s="24">
        <v>224</v>
      </c>
      <c r="S19" s="24">
        <v>251</v>
      </c>
      <c r="T19" s="24">
        <v>448</v>
      </c>
      <c r="U19" s="24">
        <v>217</v>
      </c>
      <c r="V19" s="24">
        <v>431</v>
      </c>
      <c r="W19" s="24">
        <v>524</v>
      </c>
      <c r="X19" s="24">
        <v>282</v>
      </c>
      <c r="Y19" s="24">
        <v>466</v>
      </c>
      <c r="Z19" s="24">
        <v>289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0</v>
      </c>
      <c r="J20" s="44">
        <v>268</v>
      </c>
      <c r="K20" s="44">
        <v>203</v>
      </c>
      <c r="L20" s="44">
        <v>323</v>
      </c>
      <c r="M20" s="44">
        <v>285</v>
      </c>
      <c r="N20" s="44">
        <v>296</v>
      </c>
      <c r="O20" s="44">
        <v>305</v>
      </c>
      <c r="P20" s="44">
        <v>270</v>
      </c>
      <c r="Q20" s="44">
        <v>346</v>
      </c>
      <c r="R20" s="44">
        <v>224</v>
      </c>
      <c r="S20" s="44">
        <v>251</v>
      </c>
      <c r="T20" s="44">
        <v>448</v>
      </c>
      <c r="U20" s="44">
        <v>217</v>
      </c>
      <c r="V20" s="44">
        <v>431</v>
      </c>
      <c r="W20" s="44">
        <v>524</v>
      </c>
      <c r="X20" s="44">
        <v>282</v>
      </c>
      <c r="Y20" s="44">
        <v>466</v>
      </c>
      <c r="Z20" s="44">
        <v>289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656</v>
      </c>
      <c r="J22" s="24">
        <v>622</v>
      </c>
      <c r="K22" s="24">
        <v>523</v>
      </c>
      <c r="L22" s="24">
        <v>604</v>
      </c>
      <c r="M22" s="24">
        <v>620</v>
      </c>
      <c r="N22" s="24">
        <v>559</v>
      </c>
      <c r="O22" s="24">
        <v>590</v>
      </c>
      <c r="P22" s="24">
        <v>530</v>
      </c>
      <c r="Q22" s="24">
        <v>593</v>
      </c>
      <c r="R22" s="24">
        <v>564</v>
      </c>
      <c r="S22" s="24">
        <v>543</v>
      </c>
      <c r="T22" s="24">
        <v>639</v>
      </c>
      <c r="U22" s="24">
        <v>603</v>
      </c>
      <c r="V22" s="24">
        <v>630</v>
      </c>
      <c r="W22" s="24">
        <v>708</v>
      </c>
      <c r="X22" s="24">
        <v>615</v>
      </c>
      <c r="Y22" s="24">
        <v>640</v>
      </c>
      <c r="Z22" s="24">
        <v>452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656</v>
      </c>
      <c r="J23" s="44">
        <v>622</v>
      </c>
      <c r="K23" s="44">
        <v>523</v>
      </c>
      <c r="L23" s="44">
        <v>604</v>
      </c>
      <c r="M23" s="44">
        <v>620</v>
      </c>
      <c r="N23" s="44">
        <v>559</v>
      </c>
      <c r="O23" s="44">
        <v>590</v>
      </c>
      <c r="P23" s="44">
        <v>530</v>
      </c>
      <c r="Q23" s="44">
        <v>593</v>
      </c>
      <c r="R23" s="44">
        <v>564</v>
      </c>
      <c r="S23" s="44">
        <v>543</v>
      </c>
      <c r="T23" s="44">
        <v>639</v>
      </c>
      <c r="U23" s="44">
        <v>603</v>
      </c>
      <c r="V23" s="44">
        <v>630</v>
      </c>
      <c r="W23" s="44">
        <v>708</v>
      </c>
      <c r="X23" s="44">
        <v>615</v>
      </c>
      <c r="Y23" s="44">
        <v>640</v>
      </c>
      <c r="Z23" s="44">
        <v>452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65</v>
      </c>
      <c r="J25" s="24">
        <v>301</v>
      </c>
      <c r="K25" s="24">
        <v>298</v>
      </c>
      <c r="L25" s="24">
        <v>242</v>
      </c>
      <c r="M25" s="24">
        <v>269</v>
      </c>
      <c r="N25" s="24">
        <v>353</v>
      </c>
      <c r="O25" s="24">
        <v>274</v>
      </c>
      <c r="P25" s="24">
        <v>330</v>
      </c>
      <c r="Q25" s="24">
        <v>283</v>
      </c>
      <c r="R25" s="24">
        <v>253</v>
      </c>
      <c r="S25" s="24">
        <v>270</v>
      </c>
      <c r="T25" s="24">
        <v>352</v>
      </c>
      <c r="U25" s="24">
        <v>253</v>
      </c>
      <c r="V25" s="24">
        <v>404</v>
      </c>
      <c r="W25" s="24">
        <v>443</v>
      </c>
      <c r="X25" s="24">
        <v>375</v>
      </c>
      <c r="Y25" s="24">
        <v>441</v>
      </c>
      <c r="Z25" s="24">
        <v>477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65</v>
      </c>
      <c r="J26" s="44">
        <v>301</v>
      </c>
      <c r="K26" s="44">
        <v>298</v>
      </c>
      <c r="L26" s="44">
        <v>242</v>
      </c>
      <c r="M26" s="44">
        <v>269</v>
      </c>
      <c r="N26" s="44">
        <v>353</v>
      </c>
      <c r="O26" s="44">
        <v>274</v>
      </c>
      <c r="P26" s="44">
        <v>330</v>
      </c>
      <c r="Q26" s="44">
        <v>283</v>
      </c>
      <c r="R26" s="44">
        <v>253</v>
      </c>
      <c r="S26" s="44">
        <v>270</v>
      </c>
      <c r="T26" s="44">
        <v>352</v>
      </c>
      <c r="U26" s="44">
        <v>253</v>
      </c>
      <c r="V26" s="44">
        <v>404</v>
      </c>
      <c r="W26" s="44">
        <v>443</v>
      </c>
      <c r="X26" s="44">
        <v>375</v>
      </c>
      <c r="Y26" s="44">
        <v>441</v>
      </c>
      <c r="Z26" s="44">
        <v>477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AA10:AA11"/>
    <mergeCell ref="F10:F11"/>
    <mergeCell ref="AA6:AA9"/>
    <mergeCell ref="B7:D7"/>
    <mergeCell ref="A1:AA1"/>
    <mergeCell ref="F2:G2"/>
    <mergeCell ref="W2:AA2"/>
    <mergeCell ref="A4:AA4"/>
    <mergeCell ref="A5:AA5"/>
    <mergeCell ref="E7:H7"/>
    <mergeCell ref="I7:Z7"/>
    <mergeCell ref="B8:Z8"/>
    <mergeCell ref="A6:A9"/>
    <mergeCell ref="B6:H6"/>
    <mergeCell ref="I6:Z6"/>
    <mergeCell ref="G10:G11"/>
    <mergeCell ref="A12:AA12"/>
    <mergeCell ref="A13:A14"/>
    <mergeCell ref="B13:B14"/>
    <mergeCell ref="C13:C14"/>
    <mergeCell ref="D13:D14"/>
    <mergeCell ref="E13:E14"/>
    <mergeCell ref="F13:F14"/>
    <mergeCell ref="G13:G14"/>
    <mergeCell ref="AA13:AA14"/>
    <mergeCell ref="A10:A11"/>
    <mergeCell ref="B10:B11"/>
    <mergeCell ref="C10:C11"/>
    <mergeCell ref="D10:D11"/>
    <mergeCell ref="E10:E11"/>
    <mergeCell ref="A15:AA15"/>
    <mergeCell ref="A16:A17"/>
    <mergeCell ref="B16:B17"/>
    <mergeCell ref="C16:C17"/>
    <mergeCell ref="D16:D17"/>
    <mergeCell ref="E16:E17"/>
    <mergeCell ref="F16:F17"/>
    <mergeCell ref="G16:G17"/>
    <mergeCell ref="AA16:AA17"/>
    <mergeCell ref="E22:E23"/>
    <mergeCell ref="F22:F23"/>
    <mergeCell ref="A18:AA18"/>
    <mergeCell ref="A19:A20"/>
    <mergeCell ref="B19:B20"/>
    <mergeCell ref="C19:C20"/>
    <mergeCell ref="D19:D20"/>
    <mergeCell ref="E19:E20"/>
    <mergeCell ref="F19:F20"/>
    <mergeCell ref="G19:G20"/>
    <mergeCell ref="AA19:AA20"/>
    <mergeCell ref="B36:G37"/>
    <mergeCell ref="H36:M37"/>
    <mergeCell ref="G22:G23"/>
    <mergeCell ref="AA22:AA23"/>
    <mergeCell ref="A24:AA24"/>
    <mergeCell ref="A25:A26"/>
    <mergeCell ref="B25:B26"/>
    <mergeCell ref="C25:C26"/>
    <mergeCell ref="D25:D26"/>
    <mergeCell ref="E25:E26"/>
    <mergeCell ref="F25:F26"/>
    <mergeCell ref="G25:G26"/>
    <mergeCell ref="A22:A23"/>
    <mergeCell ref="B22:B23"/>
    <mergeCell ref="C22:C23"/>
    <mergeCell ref="D22:D23"/>
    <mergeCell ref="AA25:AA26"/>
    <mergeCell ref="I29:L29"/>
    <mergeCell ref="B34:M34"/>
    <mergeCell ref="B35:G35"/>
    <mergeCell ref="H35:M35"/>
  </mergeCells>
  <conditionalFormatting sqref="I21:Z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492" priority="15" operator="greaterThan">
      <formula>95%</formula>
    </cfRule>
    <cfRule type="cellIs" dxfId="491" priority="16" operator="greaterThanOrEqual">
      <formula>90%</formula>
    </cfRule>
    <cfRule type="cellIs" dxfId="490" priority="17" operator="lessThan">
      <formula>89.99%</formula>
    </cfRule>
  </conditionalFormatting>
  <conditionalFormatting sqref="AA13">
    <cfRule type="cellIs" dxfId="489" priority="12" operator="greaterThan">
      <formula>95%</formula>
    </cfRule>
    <cfRule type="cellIs" dxfId="488" priority="13" operator="greaterThanOrEqual">
      <formula>90%</formula>
    </cfRule>
    <cfRule type="cellIs" dxfId="487" priority="14" operator="lessThan">
      <formula>89.99%</formula>
    </cfRule>
  </conditionalFormatting>
  <conditionalFormatting sqref="AA16">
    <cfRule type="cellIs" dxfId="486" priority="9" operator="greaterThan">
      <formula>95%</formula>
    </cfRule>
    <cfRule type="cellIs" dxfId="485" priority="10" operator="greaterThanOrEqual">
      <formula>90%</formula>
    </cfRule>
    <cfRule type="cellIs" dxfId="484" priority="11" operator="lessThan">
      <formula>89.99%</formula>
    </cfRule>
  </conditionalFormatting>
  <conditionalFormatting sqref="AA19">
    <cfRule type="cellIs" dxfId="483" priority="6" operator="greaterThan">
      <formula>95%</formula>
    </cfRule>
    <cfRule type="cellIs" dxfId="482" priority="7" operator="greaterThanOrEqual">
      <formula>90%</formula>
    </cfRule>
    <cfRule type="cellIs" dxfId="481" priority="8" operator="lessThan">
      <formula>89.99%</formula>
    </cfRule>
  </conditionalFormatting>
  <conditionalFormatting sqref="AA22">
    <cfRule type="cellIs" dxfId="480" priority="1" operator="greaterThanOrEqual">
      <formula>100%</formula>
    </cfRule>
    <cfRule type="cellIs" dxfId="479" priority="2" operator="lessThan">
      <formula>99.99%</formula>
    </cfRule>
  </conditionalFormatting>
  <conditionalFormatting sqref="AA25">
    <cfRule type="cellIs" dxfId="478" priority="3" operator="greaterThan">
      <formula>95%</formula>
    </cfRule>
    <cfRule type="cellIs" dxfId="477" priority="4" operator="greaterThanOrEqual">
      <formula>90%</formula>
    </cfRule>
    <cfRule type="cellIs" dxfId="476" priority="5" operator="lessThan">
      <formula>89.99%</formula>
    </cfRule>
  </conditionalFormatting>
  <dataValidations count="1">
    <dataValidation showDropDown="1" showInputMessage="1" showErrorMessage="1" sqref="C21 G19:G23 G10:G11 G16:G17 G13:G14 G25:G26" xr:uid="{FDF3E2C5-3F69-4FC3-B528-DF2846B1F1A2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</sheetPr>
  <dimension ref="A1:AM38"/>
  <sheetViews>
    <sheetView showGridLines="0" topLeftCell="A4" zoomScale="60" zoomScaleNormal="60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4</v>
      </c>
      <c r="F2" s="129" t="s">
        <v>25</v>
      </c>
      <c r="G2" s="129"/>
      <c r="H2" s="22">
        <v>160451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62</v>
      </c>
      <c r="J10" s="24">
        <v>297</v>
      </c>
      <c r="K10" s="24">
        <v>287</v>
      </c>
      <c r="L10" s="24">
        <v>369</v>
      </c>
      <c r="M10" s="24">
        <v>389</v>
      </c>
      <c r="N10" s="24">
        <v>310</v>
      </c>
      <c r="O10" s="24">
        <v>337</v>
      </c>
      <c r="P10" s="24">
        <v>358</v>
      </c>
      <c r="Q10" s="24">
        <v>328</v>
      </c>
      <c r="R10" s="24">
        <v>299</v>
      </c>
      <c r="S10" s="24">
        <v>395</v>
      </c>
      <c r="T10" s="24">
        <v>478</v>
      </c>
      <c r="U10" s="24">
        <v>408</v>
      </c>
      <c r="V10" s="24">
        <v>465</v>
      </c>
      <c r="W10" s="24">
        <v>516</v>
      </c>
      <c r="X10" s="24">
        <v>537</v>
      </c>
      <c r="Y10" s="24">
        <v>661</v>
      </c>
      <c r="Z10" s="24">
        <v>537</v>
      </c>
      <c r="AA10" s="119">
        <f>IFERROR(SUM(I10:Z10)/SUM(I11:Z11),0)</f>
        <v>1.0001422070534698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62</v>
      </c>
      <c r="J11" s="44">
        <v>297</v>
      </c>
      <c r="K11" s="44">
        <v>287</v>
      </c>
      <c r="L11" s="44">
        <v>369</v>
      </c>
      <c r="M11" s="44">
        <v>389</v>
      </c>
      <c r="N11" s="44">
        <v>310</v>
      </c>
      <c r="O11" s="44">
        <v>337</v>
      </c>
      <c r="P11" s="44">
        <v>358</v>
      </c>
      <c r="Q11" s="44">
        <v>328</v>
      </c>
      <c r="R11" s="44">
        <v>299</v>
      </c>
      <c r="S11" s="44">
        <v>394</v>
      </c>
      <c r="T11" s="44">
        <v>478</v>
      </c>
      <c r="U11" s="44">
        <v>408</v>
      </c>
      <c r="V11" s="44">
        <v>465</v>
      </c>
      <c r="W11" s="44">
        <v>516</v>
      </c>
      <c r="X11" s="44">
        <v>537</v>
      </c>
      <c r="Y11" s="44">
        <v>661</v>
      </c>
      <c r="Z11" s="44">
        <v>537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62</v>
      </c>
      <c r="J13" s="24">
        <v>295</v>
      </c>
      <c r="K13" s="24">
        <v>284</v>
      </c>
      <c r="L13" s="24">
        <v>366</v>
      </c>
      <c r="M13" s="24">
        <v>388</v>
      </c>
      <c r="N13" s="24">
        <v>310</v>
      </c>
      <c r="O13" s="24">
        <v>337</v>
      </c>
      <c r="P13" s="24">
        <v>355</v>
      </c>
      <c r="Q13" s="24">
        <v>328</v>
      </c>
      <c r="R13" s="24">
        <v>297</v>
      </c>
      <c r="S13" s="24">
        <v>392</v>
      </c>
      <c r="T13" s="24">
        <v>472</v>
      </c>
      <c r="U13" s="24">
        <v>407</v>
      </c>
      <c r="V13" s="24">
        <v>464</v>
      </c>
      <c r="W13" s="24">
        <v>514</v>
      </c>
      <c r="X13" s="24">
        <v>535</v>
      </c>
      <c r="Y13" s="24">
        <v>656</v>
      </c>
      <c r="Z13" s="24">
        <v>530</v>
      </c>
      <c r="AA13" s="119">
        <f>IFERROR(SUM(I13:Z13)/SUM(I14:Z14),0)</f>
        <v>0.99417033982653202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62</v>
      </c>
      <c r="J14" s="44">
        <v>297</v>
      </c>
      <c r="K14" s="44">
        <v>287</v>
      </c>
      <c r="L14" s="44">
        <v>369</v>
      </c>
      <c r="M14" s="44">
        <v>389</v>
      </c>
      <c r="N14" s="44">
        <v>310</v>
      </c>
      <c r="O14" s="44">
        <v>337</v>
      </c>
      <c r="P14" s="44">
        <v>358</v>
      </c>
      <c r="Q14" s="44">
        <v>328</v>
      </c>
      <c r="R14" s="44">
        <v>299</v>
      </c>
      <c r="S14" s="44">
        <v>395</v>
      </c>
      <c r="T14" s="44">
        <v>478</v>
      </c>
      <c r="U14" s="44">
        <v>408</v>
      </c>
      <c r="V14" s="44">
        <v>465</v>
      </c>
      <c r="W14" s="44">
        <v>516</v>
      </c>
      <c r="X14" s="44">
        <v>537</v>
      </c>
      <c r="Y14" s="44">
        <v>661</v>
      </c>
      <c r="Z14" s="44">
        <v>537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62</v>
      </c>
      <c r="J16" s="24">
        <v>297</v>
      </c>
      <c r="K16" s="24">
        <v>287</v>
      </c>
      <c r="L16" s="24">
        <v>369</v>
      </c>
      <c r="M16" s="24">
        <v>389</v>
      </c>
      <c r="N16" s="24">
        <v>310</v>
      </c>
      <c r="O16" s="24">
        <v>337</v>
      </c>
      <c r="P16" s="24">
        <v>358</v>
      </c>
      <c r="Q16" s="24">
        <v>328</v>
      </c>
      <c r="R16" s="24">
        <v>299</v>
      </c>
      <c r="S16" s="24">
        <v>395</v>
      </c>
      <c r="T16" s="24">
        <v>478</v>
      </c>
      <c r="U16" s="24">
        <v>408</v>
      </c>
      <c r="V16" s="24">
        <v>465</v>
      </c>
      <c r="W16" s="24">
        <v>516</v>
      </c>
      <c r="X16" s="24">
        <v>537</v>
      </c>
      <c r="Y16" s="24">
        <v>661</v>
      </c>
      <c r="Z16" s="24">
        <v>537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62</v>
      </c>
      <c r="J17" s="44">
        <v>297</v>
      </c>
      <c r="K17" s="44">
        <v>287</v>
      </c>
      <c r="L17" s="44">
        <v>369</v>
      </c>
      <c r="M17" s="44">
        <v>389</v>
      </c>
      <c r="N17" s="44">
        <v>310</v>
      </c>
      <c r="O17" s="44">
        <v>337</v>
      </c>
      <c r="P17" s="44">
        <v>358</v>
      </c>
      <c r="Q17" s="44">
        <v>328</v>
      </c>
      <c r="R17" s="44">
        <v>299</v>
      </c>
      <c r="S17" s="44">
        <v>395</v>
      </c>
      <c r="T17" s="44">
        <v>478</v>
      </c>
      <c r="U17" s="44">
        <v>408</v>
      </c>
      <c r="V17" s="44">
        <v>465</v>
      </c>
      <c r="W17" s="44">
        <v>516</v>
      </c>
      <c r="X17" s="44">
        <v>537</v>
      </c>
      <c r="Y17" s="44">
        <v>661</v>
      </c>
      <c r="Z17" s="44">
        <v>537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198</v>
      </c>
      <c r="J19" s="24">
        <v>257</v>
      </c>
      <c r="K19" s="24">
        <v>238</v>
      </c>
      <c r="L19" s="24">
        <v>365</v>
      </c>
      <c r="M19" s="24">
        <v>435</v>
      </c>
      <c r="N19" s="24">
        <v>305</v>
      </c>
      <c r="O19" s="24">
        <v>382</v>
      </c>
      <c r="P19" s="24">
        <v>279</v>
      </c>
      <c r="Q19" s="24">
        <v>423</v>
      </c>
      <c r="R19" s="24">
        <v>263</v>
      </c>
      <c r="S19" s="24">
        <v>303</v>
      </c>
      <c r="T19" s="24">
        <v>495</v>
      </c>
      <c r="U19" s="24">
        <v>187</v>
      </c>
      <c r="V19" s="24">
        <v>591</v>
      </c>
      <c r="W19" s="24">
        <v>587</v>
      </c>
      <c r="X19" s="24">
        <v>422</v>
      </c>
      <c r="Y19" s="24">
        <v>543</v>
      </c>
      <c r="Z19" s="24">
        <v>291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198</v>
      </c>
      <c r="J20" s="44">
        <v>257</v>
      </c>
      <c r="K20" s="44">
        <v>238</v>
      </c>
      <c r="L20" s="44">
        <v>365</v>
      </c>
      <c r="M20" s="44">
        <v>435</v>
      </c>
      <c r="N20" s="44">
        <v>305</v>
      </c>
      <c r="O20" s="44">
        <v>382</v>
      </c>
      <c r="P20" s="44">
        <v>279</v>
      </c>
      <c r="Q20" s="44">
        <v>423</v>
      </c>
      <c r="R20" s="44">
        <v>263</v>
      </c>
      <c r="S20" s="44">
        <v>303</v>
      </c>
      <c r="T20" s="44">
        <v>495</v>
      </c>
      <c r="U20" s="44">
        <v>187</v>
      </c>
      <c r="V20" s="44">
        <v>591</v>
      </c>
      <c r="W20" s="44">
        <v>587</v>
      </c>
      <c r="X20" s="44">
        <v>422</v>
      </c>
      <c r="Y20" s="44">
        <v>543</v>
      </c>
      <c r="Z20" s="44">
        <v>291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1539</v>
      </c>
      <c r="J22" s="24">
        <v>1455</v>
      </c>
      <c r="K22" s="24">
        <v>1395</v>
      </c>
      <c r="L22" s="24">
        <v>1357</v>
      </c>
      <c r="M22" s="24">
        <v>1461</v>
      </c>
      <c r="N22" s="24">
        <v>1445</v>
      </c>
      <c r="O22" s="24">
        <v>1456</v>
      </c>
      <c r="P22" s="24">
        <v>1349</v>
      </c>
      <c r="Q22" s="24">
        <v>1410</v>
      </c>
      <c r="R22" s="24">
        <v>1389</v>
      </c>
      <c r="S22" s="24">
        <v>1328</v>
      </c>
      <c r="T22" s="24">
        <v>1474</v>
      </c>
      <c r="U22" s="24">
        <v>1236</v>
      </c>
      <c r="V22" s="24">
        <v>1441</v>
      </c>
      <c r="W22" s="24">
        <v>1577</v>
      </c>
      <c r="X22" s="24">
        <v>1456</v>
      </c>
      <c r="Y22" s="24">
        <v>1363</v>
      </c>
      <c r="Z22" s="24">
        <v>1116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1539</v>
      </c>
      <c r="J23" s="44">
        <v>1455</v>
      </c>
      <c r="K23" s="44">
        <v>1395</v>
      </c>
      <c r="L23" s="44">
        <v>1357</v>
      </c>
      <c r="M23" s="44">
        <v>1461</v>
      </c>
      <c r="N23" s="44">
        <v>1445</v>
      </c>
      <c r="O23" s="44">
        <v>1456</v>
      </c>
      <c r="P23" s="44">
        <v>1349</v>
      </c>
      <c r="Q23" s="44">
        <v>1410</v>
      </c>
      <c r="R23" s="44">
        <v>1389</v>
      </c>
      <c r="S23" s="44">
        <v>1328</v>
      </c>
      <c r="T23" s="44">
        <v>1474</v>
      </c>
      <c r="U23" s="44">
        <v>1236</v>
      </c>
      <c r="V23" s="44">
        <v>1441</v>
      </c>
      <c r="W23" s="44">
        <v>1577</v>
      </c>
      <c r="X23" s="44">
        <v>1456</v>
      </c>
      <c r="Y23" s="44">
        <v>1363</v>
      </c>
      <c r="Z23" s="44">
        <v>1116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77</v>
      </c>
      <c r="J25" s="24">
        <v>339</v>
      </c>
      <c r="K25" s="24">
        <v>291</v>
      </c>
      <c r="L25" s="24">
        <v>401</v>
      </c>
      <c r="M25" s="24">
        <v>331</v>
      </c>
      <c r="N25" s="24">
        <v>320</v>
      </c>
      <c r="O25" s="24">
        <v>371</v>
      </c>
      <c r="P25" s="24">
        <v>386</v>
      </c>
      <c r="Q25" s="24">
        <v>362</v>
      </c>
      <c r="R25" s="24">
        <v>284</v>
      </c>
      <c r="S25" s="24">
        <v>359</v>
      </c>
      <c r="T25" s="24">
        <v>349</v>
      </c>
      <c r="U25" s="24">
        <v>425</v>
      </c>
      <c r="V25" s="24">
        <v>386</v>
      </c>
      <c r="W25" s="24">
        <v>450</v>
      </c>
      <c r="X25" s="24">
        <v>543</v>
      </c>
      <c r="Y25" s="24">
        <v>636</v>
      </c>
      <c r="Z25" s="24">
        <v>538</v>
      </c>
      <c r="AA25" s="119">
        <f>IFERROR(SUM(I25:Z25)/SUM(I26:Z26),0)</f>
        <v>0.99970802919708024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77</v>
      </c>
      <c r="J26" s="44">
        <v>339</v>
      </c>
      <c r="K26" s="44">
        <v>291</v>
      </c>
      <c r="L26" s="44">
        <v>403</v>
      </c>
      <c r="M26" s="44">
        <v>331</v>
      </c>
      <c r="N26" s="44">
        <v>320</v>
      </c>
      <c r="O26" s="44">
        <v>371</v>
      </c>
      <c r="P26" s="44">
        <v>386</v>
      </c>
      <c r="Q26" s="44">
        <v>362</v>
      </c>
      <c r="R26" s="44">
        <v>284</v>
      </c>
      <c r="S26" s="44">
        <v>359</v>
      </c>
      <c r="T26" s="44">
        <v>349</v>
      </c>
      <c r="U26" s="44">
        <v>425</v>
      </c>
      <c r="V26" s="44">
        <v>386</v>
      </c>
      <c r="W26" s="44">
        <v>450</v>
      </c>
      <c r="X26" s="44">
        <v>543</v>
      </c>
      <c r="Y26" s="44">
        <v>636</v>
      </c>
      <c r="Z26" s="44">
        <v>538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G25:G26"/>
    <mergeCell ref="AA25:AA26"/>
    <mergeCell ref="A24:AA24"/>
    <mergeCell ref="A25:A26"/>
    <mergeCell ref="B25:B26"/>
    <mergeCell ref="C25:C26"/>
    <mergeCell ref="D25:D26"/>
    <mergeCell ref="E25:E26"/>
    <mergeCell ref="F25:F26"/>
    <mergeCell ref="E22:E23"/>
    <mergeCell ref="F19:F20"/>
    <mergeCell ref="G19:G20"/>
    <mergeCell ref="AA19:AA20"/>
    <mergeCell ref="A19:A20"/>
    <mergeCell ref="B19:B20"/>
    <mergeCell ref="C19:C20"/>
    <mergeCell ref="D19:D20"/>
    <mergeCell ref="E19:E20"/>
    <mergeCell ref="F22:F23"/>
    <mergeCell ref="G22:G23"/>
    <mergeCell ref="AA22:AA23"/>
    <mergeCell ref="A22:A23"/>
    <mergeCell ref="B22:B23"/>
    <mergeCell ref="C22:C23"/>
    <mergeCell ref="D22:D23"/>
    <mergeCell ref="F16:F17"/>
    <mergeCell ref="G16:G17"/>
    <mergeCell ref="AA16:AA17"/>
    <mergeCell ref="A18:AA18"/>
    <mergeCell ref="A16:A17"/>
    <mergeCell ref="B16:B17"/>
    <mergeCell ref="C16:C17"/>
    <mergeCell ref="D16:D17"/>
    <mergeCell ref="E16:E17"/>
    <mergeCell ref="F13:F14"/>
    <mergeCell ref="G13:G14"/>
    <mergeCell ref="AA13:AA14"/>
    <mergeCell ref="A15:AA15"/>
    <mergeCell ref="A13:A14"/>
    <mergeCell ref="B13:B14"/>
    <mergeCell ref="C13:C14"/>
    <mergeCell ref="D13:D14"/>
    <mergeCell ref="E13:E14"/>
    <mergeCell ref="A12:AA12"/>
    <mergeCell ref="A10:A11"/>
    <mergeCell ref="B10:B11"/>
    <mergeCell ref="C10:C11"/>
    <mergeCell ref="D10:D11"/>
    <mergeCell ref="E10:E11"/>
    <mergeCell ref="A1:AA1"/>
    <mergeCell ref="F2:G2"/>
    <mergeCell ref="A4:AA4"/>
    <mergeCell ref="A5:AA5"/>
    <mergeCell ref="F10:F11"/>
    <mergeCell ref="G10:G11"/>
    <mergeCell ref="AA10:AA11"/>
    <mergeCell ref="A6:A9"/>
    <mergeCell ref="B6:H6"/>
    <mergeCell ref="I6:Z6"/>
    <mergeCell ref="AA6:AA9"/>
    <mergeCell ref="B7:D7"/>
    <mergeCell ref="E7:H7"/>
    <mergeCell ref="I7:Z7"/>
    <mergeCell ref="B8:Z8"/>
    <mergeCell ref="W2:AA2"/>
    <mergeCell ref="I29:L29"/>
    <mergeCell ref="B34:M34"/>
    <mergeCell ref="B35:G35"/>
    <mergeCell ref="H35:M35"/>
    <mergeCell ref="B36:G37"/>
    <mergeCell ref="H36:M37"/>
  </mergeCells>
  <conditionalFormatting sqref="I21:Z21">
    <cfRule type="colorScale" priority="3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475" priority="18" operator="greaterThan">
      <formula>95%</formula>
    </cfRule>
    <cfRule type="cellIs" dxfId="474" priority="19" operator="greaterThanOrEqual">
      <formula>90%</formula>
    </cfRule>
    <cfRule type="cellIs" dxfId="473" priority="20" operator="lessThan">
      <formula>89.99%</formula>
    </cfRule>
  </conditionalFormatting>
  <conditionalFormatting sqref="AA13">
    <cfRule type="cellIs" dxfId="472" priority="15" operator="greaterThan">
      <formula>95%</formula>
    </cfRule>
    <cfRule type="cellIs" dxfId="471" priority="16" operator="greaterThanOrEqual">
      <formula>90%</formula>
    </cfRule>
    <cfRule type="cellIs" dxfId="470" priority="17" operator="lessThan">
      <formula>89.99%</formula>
    </cfRule>
  </conditionalFormatting>
  <conditionalFormatting sqref="AA16">
    <cfRule type="cellIs" dxfId="469" priority="12" operator="greaterThan">
      <formula>95%</formula>
    </cfRule>
    <cfRule type="cellIs" dxfId="468" priority="13" operator="greaterThanOrEqual">
      <formula>90%</formula>
    </cfRule>
    <cfRule type="cellIs" dxfId="467" priority="14" operator="lessThan">
      <formula>89.99%</formula>
    </cfRule>
  </conditionalFormatting>
  <conditionalFormatting sqref="AA19">
    <cfRule type="cellIs" dxfId="466" priority="9" operator="greaterThan">
      <formula>95%</formula>
    </cfRule>
    <cfRule type="cellIs" dxfId="465" priority="10" operator="greaterThanOrEqual">
      <formula>90%</formula>
    </cfRule>
    <cfRule type="cellIs" dxfId="464" priority="11" operator="lessThan">
      <formula>89.99%</formula>
    </cfRule>
  </conditionalFormatting>
  <conditionalFormatting sqref="AA22">
    <cfRule type="cellIs" dxfId="463" priority="1" operator="greaterThanOrEqual">
      <formula>100%</formula>
    </cfRule>
    <cfRule type="cellIs" dxfId="462" priority="2" operator="lessThan">
      <formula>99.99%</formula>
    </cfRule>
  </conditionalFormatting>
  <conditionalFormatting sqref="AA25">
    <cfRule type="cellIs" dxfId="461" priority="3" operator="greaterThan">
      <formula>95%</formula>
    </cfRule>
    <cfRule type="cellIs" dxfId="460" priority="4" operator="greaterThanOrEqual">
      <formula>90%</formula>
    </cfRule>
    <cfRule type="cellIs" dxfId="459" priority="5" operator="lessThan">
      <formula>89.99%</formula>
    </cfRule>
  </conditionalFormatting>
  <dataValidations count="1">
    <dataValidation showDropDown="1" showInputMessage="1" showErrorMessage="1" sqref="C21 G19:G23 G10:G11 G16:G17 G13:G14 G25:G26" xr:uid="{DCC9F913-A67E-4F8A-954B-1CB64E355521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361358-EF8C-49E6-BF40-9D9840E86CD5}">
  <sheetPr>
    <tabColor rgb="FFFFFF00"/>
  </sheetPr>
  <dimension ref="A1:AM38"/>
  <sheetViews>
    <sheetView showGridLines="0" topLeftCell="A4" zoomScale="62" zoomScaleNormal="62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4</v>
      </c>
      <c r="F2" s="129" t="s">
        <v>25</v>
      </c>
      <c r="G2" s="129"/>
      <c r="H2" s="22">
        <v>160453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31</v>
      </c>
      <c r="J10" s="24">
        <v>195</v>
      </c>
      <c r="K10" s="24">
        <v>188</v>
      </c>
      <c r="L10" s="24">
        <v>216</v>
      </c>
      <c r="M10" s="24">
        <v>167</v>
      </c>
      <c r="N10" s="24">
        <v>262</v>
      </c>
      <c r="O10" s="24">
        <v>159</v>
      </c>
      <c r="P10" s="24">
        <v>166</v>
      </c>
      <c r="Q10" s="24">
        <v>210</v>
      </c>
      <c r="R10" s="24">
        <v>154</v>
      </c>
      <c r="S10" s="24">
        <v>239</v>
      </c>
      <c r="T10" s="24">
        <v>242</v>
      </c>
      <c r="U10" s="24">
        <v>142</v>
      </c>
      <c r="V10" s="24">
        <v>287</v>
      </c>
      <c r="W10" s="24">
        <v>224</v>
      </c>
      <c r="X10" s="24">
        <v>174</v>
      </c>
      <c r="Y10" s="24">
        <v>252</v>
      </c>
      <c r="Z10" s="24">
        <v>186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31</v>
      </c>
      <c r="J11" s="44">
        <v>195</v>
      </c>
      <c r="K11" s="44">
        <v>188</v>
      </c>
      <c r="L11" s="44">
        <v>216</v>
      </c>
      <c r="M11" s="44">
        <v>167</v>
      </c>
      <c r="N11" s="44">
        <v>262</v>
      </c>
      <c r="O11" s="44">
        <v>159</v>
      </c>
      <c r="P11" s="44">
        <v>166</v>
      </c>
      <c r="Q11" s="44">
        <v>210</v>
      </c>
      <c r="R11" s="44">
        <v>154</v>
      </c>
      <c r="S11" s="44">
        <v>239</v>
      </c>
      <c r="T11" s="44">
        <v>242</v>
      </c>
      <c r="U11" s="44">
        <v>142</v>
      </c>
      <c r="V11" s="44">
        <v>287</v>
      </c>
      <c r="W11" s="44">
        <v>224</v>
      </c>
      <c r="X11" s="44">
        <v>174</v>
      </c>
      <c r="Y11" s="44">
        <v>252</v>
      </c>
      <c r="Z11" s="44">
        <v>186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31</v>
      </c>
      <c r="J13" s="24">
        <v>190</v>
      </c>
      <c r="K13" s="24">
        <v>186</v>
      </c>
      <c r="L13" s="24">
        <v>216</v>
      </c>
      <c r="M13" s="24">
        <v>167</v>
      </c>
      <c r="N13" s="24">
        <v>261</v>
      </c>
      <c r="O13" s="24">
        <v>159</v>
      </c>
      <c r="P13" s="24">
        <v>166</v>
      </c>
      <c r="Q13" s="24">
        <v>208</v>
      </c>
      <c r="R13" s="24">
        <v>154</v>
      </c>
      <c r="S13" s="24">
        <v>238</v>
      </c>
      <c r="T13" s="24">
        <v>242</v>
      </c>
      <c r="U13" s="24">
        <v>142</v>
      </c>
      <c r="V13" s="24">
        <v>283</v>
      </c>
      <c r="W13" s="24">
        <v>220</v>
      </c>
      <c r="X13" s="24">
        <v>174</v>
      </c>
      <c r="Y13" s="24">
        <v>250</v>
      </c>
      <c r="Z13" s="24">
        <v>181</v>
      </c>
      <c r="AA13" s="119">
        <f>IFERROR(SUM(I13:Z13)/SUM(I14:Z14),0)</f>
        <v>0.99255867200915859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31</v>
      </c>
      <c r="J14" s="44">
        <v>195</v>
      </c>
      <c r="K14" s="44">
        <v>188</v>
      </c>
      <c r="L14" s="44">
        <v>216</v>
      </c>
      <c r="M14" s="44">
        <v>167</v>
      </c>
      <c r="N14" s="44">
        <v>262</v>
      </c>
      <c r="O14" s="44">
        <v>159</v>
      </c>
      <c r="P14" s="44">
        <v>166</v>
      </c>
      <c r="Q14" s="44">
        <v>210</v>
      </c>
      <c r="R14" s="44">
        <v>154</v>
      </c>
      <c r="S14" s="44">
        <v>239</v>
      </c>
      <c r="T14" s="44">
        <v>242</v>
      </c>
      <c r="U14" s="44">
        <v>142</v>
      </c>
      <c r="V14" s="44">
        <v>287</v>
      </c>
      <c r="W14" s="44">
        <v>224</v>
      </c>
      <c r="X14" s="44">
        <v>174</v>
      </c>
      <c r="Y14" s="44">
        <v>252</v>
      </c>
      <c r="Z14" s="44">
        <v>186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31</v>
      </c>
      <c r="J16" s="24">
        <v>195</v>
      </c>
      <c r="K16" s="24">
        <v>188</v>
      </c>
      <c r="L16" s="24">
        <v>216</v>
      </c>
      <c r="M16" s="24">
        <v>167</v>
      </c>
      <c r="N16" s="24">
        <v>262</v>
      </c>
      <c r="O16" s="24">
        <v>159</v>
      </c>
      <c r="P16" s="24">
        <v>166</v>
      </c>
      <c r="Q16" s="24">
        <v>210</v>
      </c>
      <c r="R16" s="24">
        <v>154</v>
      </c>
      <c r="S16" s="24">
        <v>239</v>
      </c>
      <c r="T16" s="24">
        <v>242</v>
      </c>
      <c r="U16" s="24">
        <v>142</v>
      </c>
      <c r="V16" s="24">
        <v>287</v>
      </c>
      <c r="W16" s="24">
        <v>224</v>
      </c>
      <c r="X16" s="24">
        <v>174</v>
      </c>
      <c r="Y16" s="24">
        <v>252</v>
      </c>
      <c r="Z16" s="24">
        <v>186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31</v>
      </c>
      <c r="J17" s="44">
        <v>195</v>
      </c>
      <c r="K17" s="44">
        <v>188</v>
      </c>
      <c r="L17" s="44">
        <v>216</v>
      </c>
      <c r="M17" s="44">
        <v>167</v>
      </c>
      <c r="N17" s="44">
        <v>262</v>
      </c>
      <c r="O17" s="44">
        <v>159</v>
      </c>
      <c r="P17" s="44">
        <v>166</v>
      </c>
      <c r="Q17" s="44">
        <v>210</v>
      </c>
      <c r="R17" s="44">
        <v>154</v>
      </c>
      <c r="S17" s="44">
        <v>239</v>
      </c>
      <c r="T17" s="44">
        <v>242</v>
      </c>
      <c r="U17" s="44">
        <v>142</v>
      </c>
      <c r="V17" s="44">
        <v>287</v>
      </c>
      <c r="W17" s="44">
        <v>224</v>
      </c>
      <c r="X17" s="44">
        <v>174</v>
      </c>
      <c r="Y17" s="44">
        <v>252</v>
      </c>
      <c r="Z17" s="44">
        <v>186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0</v>
      </c>
      <c r="J19" s="24">
        <v>198</v>
      </c>
      <c r="K19" s="24">
        <v>153</v>
      </c>
      <c r="L19" s="24">
        <v>223</v>
      </c>
      <c r="M19" s="24">
        <v>178</v>
      </c>
      <c r="N19" s="24">
        <v>191</v>
      </c>
      <c r="O19" s="24">
        <v>193</v>
      </c>
      <c r="P19" s="24">
        <v>207</v>
      </c>
      <c r="Q19" s="24">
        <v>220</v>
      </c>
      <c r="R19" s="24">
        <v>117</v>
      </c>
      <c r="S19" s="24">
        <v>192</v>
      </c>
      <c r="T19" s="24">
        <v>240</v>
      </c>
      <c r="U19" s="24">
        <v>192</v>
      </c>
      <c r="V19" s="24">
        <v>258</v>
      </c>
      <c r="W19" s="24">
        <v>217</v>
      </c>
      <c r="X19" s="24">
        <v>250</v>
      </c>
      <c r="Y19" s="24">
        <v>116</v>
      </c>
      <c r="Z19" s="24">
        <v>175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0</v>
      </c>
      <c r="J20" s="44">
        <v>198</v>
      </c>
      <c r="K20" s="44">
        <v>153</v>
      </c>
      <c r="L20" s="44">
        <v>223</v>
      </c>
      <c r="M20" s="44">
        <v>178</v>
      </c>
      <c r="N20" s="44">
        <v>191</v>
      </c>
      <c r="O20" s="44">
        <v>193</v>
      </c>
      <c r="P20" s="44">
        <v>207</v>
      </c>
      <c r="Q20" s="44">
        <v>220</v>
      </c>
      <c r="R20" s="44">
        <v>117</v>
      </c>
      <c r="S20" s="44">
        <v>192</v>
      </c>
      <c r="T20" s="44">
        <v>240</v>
      </c>
      <c r="U20" s="44">
        <v>192</v>
      </c>
      <c r="V20" s="44">
        <v>258</v>
      </c>
      <c r="W20" s="44">
        <v>217</v>
      </c>
      <c r="X20" s="44">
        <v>250</v>
      </c>
      <c r="Y20" s="44">
        <v>116</v>
      </c>
      <c r="Z20" s="44">
        <v>175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721</v>
      </c>
      <c r="J22" s="24">
        <v>684</v>
      </c>
      <c r="K22" s="24">
        <v>615</v>
      </c>
      <c r="L22" s="24">
        <v>653</v>
      </c>
      <c r="M22" s="24">
        <v>607</v>
      </c>
      <c r="N22" s="24">
        <v>592</v>
      </c>
      <c r="O22" s="24">
        <v>573</v>
      </c>
      <c r="P22" s="24">
        <v>593</v>
      </c>
      <c r="Q22" s="24">
        <v>677</v>
      </c>
      <c r="R22" s="24">
        <v>623</v>
      </c>
      <c r="S22" s="24">
        <v>575</v>
      </c>
      <c r="T22" s="24">
        <v>617</v>
      </c>
      <c r="U22" s="24">
        <v>706</v>
      </c>
      <c r="V22" s="24">
        <v>663</v>
      </c>
      <c r="W22" s="24">
        <v>639</v>
      </c>
      <c r="X22" s="24">
        <v>711</v>
      </c>
      <c r="Y22" s="24">
        <v>575</v>
      </c>
      <c r="Z22" s="24">
        <v>538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721</v>
      </c>
      <c r="J23" s="44">
        <v>684</v>
      </c>
      <c r="K23" s="44">
        <v>615</v>
      </c>
      <c r="L23" s="44">
        <v>653</v>
      </c>
      <c r="M23" s="44">
        <v>607</v>
      </c>
      <c r="N23" s="44">
        <v>592</v>
      </c>
      <c r="O23" s="44">
        <v>573</v>
      </c>
      <c r="P23" s="44">
        <v>593</v>
      </c>
      <c r="Q23" s="44">
        <v>677</v>
      </c>
      <c r="R23" s="44">
        <v>623</v>
      </c>
      <c r="S23" s="44">
        <v>575</v>
      </c>
      <c r="T23" s="44">
        <v>617</v>
      </c>
      <c r="U23" s="44">
        <v>706</v>
      </c>
      <c r="V23" s="44">
        <v>663</v>
      </c>
      <c r="W23" s="44">
        <v>639</v>
      </c>
      <c r="X23" s="44">
        <v>711</v>
      </c>
      <c r="Y23" s="44">
        <v>575</v>
      </c>
      <c r="Z23" s="44">
        <v>538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37</v>
      </c>
      <c r="J25" s="24">
        <v>235</v>
      </c>
      <c r="K25" s="24">
        <v>221</v>
      </c>
      <c r="L25" s="24">
        <v>185</v>
      </c>
      <c r="M25" s="24">
        <v>224</v>
      </c>
      <c r="N25" s="24">
        <v>206</v>
      </c>
      <c r="O25" s="24">
        <v>212</v>
      </c>
      <c r="P25" s="24">
        <v>187</v>
      </c>
      <c r="Q25" s="24">
        <v>136</v>
      </c>
      <c r="R25" s="24">
        <v>171</v>
      </c>
      <c r="S25" s="24">
        <v>239</v>
      </c>
      <c r="T25" s="24">
        <v>240</v>
      </c>
      <c r="U25" s="24">
        <v>103</v>
      </c>
      <c r="V25" s="24">
        <v>301</v>
      </c>
      <c r="W25" s="24">
        <v>241</v>
      </c>
      <c r="X25" s="24">
        <v>178</v>
      </c>
      <c r="Y25" s="24">
        <v>252</v>
      </c>
      <c r="Z25" s="24">
        <v>212</v>
      </c>
      <c r="AA25" s="119">
        <f>IFERROR(SUM(I25:Z25)/SUM(I26:Z26),0)</f>
        <v>0.99944165270798435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37</v>
      </c>
      <c r="J26" s="44">
        <v>235</v>
      </c>
      <c r="K26" s="44">
        <v>221</v>
      </c>
      <c r="L26" s="44">
        <v>185</v>
      </c>
      <c r="M26" s="44">
        <v>224</v>
      </c>
      <c r="N26" s="44">
        <v>206</v>
      </c>
      <c r="O26" s="44">
        <v>212</v>
      </c>
      <c r="P26" s="44">
        <v>187</v>
      </c>
      <c r="Q26" s="44">
        <v>136</v>
      </c>
      <c r="R26" s="44">
        <v>171</v>
      </c>
      <c r="S26" s="44">
        <v>239</v>
      </c>
      <c r="T26" s="44">
        <v>240</v>
      </c>
      <c r="U26" s="44">
        <v>103</v>
      </c>
      <c r="V26" s="44">
        <v>301</v>
      </c>
      <c r="W26" s="44">
        <v>241</v>
      </c>
      <c r="X26" s="44">
        <v>180</v>
      </c>
      <c r="Y26" s="44">
        <v>252</v>
      </c>
      <c r="Z26" s="44">
        <v>212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AA25:AA26"/>
    <mergeCell ref="I29:L29"/>
    <mergeCell ref="B34:M34"/>
    <mergeCell ref="B35:G35"/>
    <mergeCell ref="H35:M35"/>
    <mergeCell ref="B36:G37"/>
    <mergeCell ref="H36:M37"/>
    <mergeCell ref="G22:G23"/>
    <mergeCell ref="AA22:AA23"/>
    <mergeCell ref="A24:AA24"/>
    <mergeCell ref="A25:A26"/>
    <mergeCell ref="B25:B26"/>
    <mergeCell ref="C25:C26"/>
    <mergeCell ref="D25:D26"/>
    <mergeCell ref="E25:E26"/>
    <mergeCell ref="F25:F26"/>
    <mergeCell ref="G25:G26"/>
    <mergeCell ref="A22:A23"/>
    <mergeCell ref="B22:B23"/>
    <mergeCell ref="C22:C23"/>
    <mergeCell ref="D22:D23"/>
    <mergeCell ref="E22:E23"/>
    <mergeCell ref="F22:F23"/>
    <mergeCell ref="A18:AA18"/>
    <mergeCell ref="A19:A20"/>
    <mergeCell ref="B19:B20"/>
    <mergeCell ref="C19:C20"/>
    <mergeCell ref="D19:D20"/>
    <mergeCell ref="E19:E20"/>
    <mergeCell ref="F19:F20"/>
    <mergeCell ref="G19:G20"/>
    <mergeCell ref="AA19:AA20"/>
    <mergeCell ref="A15:AA15"/>
    <mergeCell ref="A16:A17"/>
    <mergeCell ref="B16:B17"/>
    <mergeCell ref="C16:C17"/>
    <mergeCell ref="D16:D17"/>
    <mergeCell ref="E16:E17"/>
    <mergeCell ref="F16:F17"/>
    <mergeCell ref="G16:G17"/>
    <mergeCell ref="AA16:AA17"/>
    <mergeCell ref="A10:A11"/>
    <mergeCell ref="B10:B11"/>
    <mergeCell ref="C10:C11"/>
    <mergeCell ref="D10:D11"/>
    <mergeCell ref="E10:E11"/>
    <mergeCell ref="A12:AA12"/>
    <mergeCell ref="A13:A14"/>
    <mergeCell ref="B13:B14"/>
    <mergeCell ref="C13:C14"/>
    <mergeCell ref="D13:D14"/>
    <mergeCell ref="E13:E14"/>
    <mergeCell ref="F13:F14"/>
    <mergeCell ref="G13:G14"/>
    <mergeCell ref="AA13:AA14"/>
    <mergeCell ref="AA10:AA11"/>
    <mergeCell ref="F10:F11"/>
    <mergeCell ref="AA6:AA9"/>
    <mergeCell ref="B7:D7"/>
    <mergeCell ref="A1:AA1"/>
    <mergeCell ref="F2:G2"/>
    <mergeCell ref="W2:AA2"/>
    <mergeCell ref="A4:AA4"/>
    <mergeCell ref="A5:AA5"/>
    <mergeCell ref="E7:H7"/>
    <mergeCell ref="I7:Z7"/>
    <mergeCell ref="B8:Z8"/>
    <mergeCell ref="A6:A9"/>
    <mergeCell ref="B6:H6"/>
    <mergeCell ref="I6:Z6"/>
    <mergeCell ref="G10:G11"/>
  </mergeCells>
  <conditionalFormatting sqref="I21:Z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458" priority="15" operator="greaterThan">
      <formula>95%</formula>
    </cfRule>
    <cfRule type="cellIs" dxfId="457" priority="16" operator="greaterThanOrEqual">
      <formula>90%</formula>
    </cfRule>
    <cfRule type="cellIs" dxfId="456" priority="17" operator="lessThan">
      <formula>89.99%</formula>
    </cfRule>
  </conditionalFormatting>
  <conditionalFormatting sqref="AA13">
    <cfRule type="cellIs" dxfId="455" priority="12" operator="greaterThan">
      <formula>95%</formula>
    </cfRule>
    <cfRule type="cellIs" dxfId="454" priority="13" operator="greaterThanOrEqual">
      <formula>90%</formula>
    </cfRule>
    <cfRule type="cellIs" dxfId="453" priority="14" operator="lessThan">
      <formula>89.99%</formula>
    </cfRule>
  </conditionalFormatting>
  <conditionalFormatting sqref="AA16">
    <cfRule type="cellIs" dxfId="452" priority="9" operator="greaterThan">
      <formula>95%</formula>
    </cfRule>
    <cfRule type="cellIs" dxfId="451" priority="10" operator="greaterThanOrEqual">
      <formula>90%</formula>
    </cfRule>
    <cfRule type="cellIs" dxfId="450" priority="11" operator="lessThan">
      <formula>89.99%</formula>
    </cfRule>
  </conditionalFormatting>
  <conditionalFormatting sqref="AA19">
    <cfRule type="cellIs" dxfId="449" priority="6" operator="greaterThan">
      <formula>95%</formula>
    </cfRule>
    <cfRule type="cellIs" dxfId="448" priority="7" operator="greaterThanOrEqual">
      <formula>90%</formula>
    </cfRule>
    <cfRule type="cellIs" dxfId="447" priority="8" operator="lessThan">
      <formula>89.99%</formula>
    </cfRule>
  </conditionalFormatting>
  <conditionalFormatting sqref="AA22">
    <cfRule type="cellIs" dxfId="446" priority="1" operator="greaterThanOrEqual">
      <formula>100%</formula>
    </cfRule>
    <cfRule type="cellIs" dxfId="445" priority="2" operator="lessThan">
      <formula>99.99%</formula>
    </cfRule>
  </conditionalFormatting>
  <conditionalFormatting sqref="AA25">
    <cfRule type="cellIs" dxfId="444" priority="3" operator="greaterThan">
      <formula>95%</formula>
    </cfRule>
    <cfRule type="cellIs" dxfId="443" priority="4" operator="greaterThanOrEqual">
      <formula>90%</formula>
    </cfRule>
    <cfRule type="cellIs" dxfId="442" priority="5" operator="lessThan">
      <formula>89.99%</formula>
    </cfRule>
  </conditionalFormatting>
  <dataValidations count="1">
    <dataValidation showDropDown="1" showInputMessage="1" showErrorMessage="1" sqref="C21 G19:G23 G10:G11 G16:G17 G13:G14 G25:G26" xr:uid="{72967E44-31C3-4061-9CF0-5B540B8E8F3D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1:AM38"/>
  <sheetViews>
    <sheetView showGridLines="0" zoomScale="55" zoomScaleNormal="55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4</v>
      </c>
      <c r="F2" s="129" t="s">
        <v>25</v>
      </c>
      <c r="G2" s="129"/>
      <c r="H2" s="22">
        <v>160454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14</v>
      </c>
      <c r="J10" s="24">
        <v>134</v>
      </c>
      <c r="K10" s="24">
        <v>85</v>
      </c>
      <c r="L10" s="24">
        <v>92</v>
      </c>
      <c r="M10" s="24">
        <v>115</v>
      </c>
      <c r="N10" s="24">
        <v>145</v>
      </c>
      <c r="O10" s="24">
        <v>103</v>
      </c>
      <c r="P10" s="24">
        <v>155</v>
      </c>
      <c r="Q10" s="24">
        <v>149</v>
      </c>
      <c r="R10" s="24">
        <v>65</v>
      </c>
      <c r="S10" s="24">
        <v>181</v>
      </c>
      <c r="T10" s="24">
        <v>155</v>
      </c>
      <c r="U10" s="24">
        <v>101</v>
      </c>
      <c r="V10" s="24">
        <v>158</v>
      </c>
      <c r="W10" s="24">
        <v>155</v>
      </c>
      <c r="X10" s="24">
        <v>179</v>
      </c>
      <c r="Y10" s="24">
        <v>194</v>
      </c>
      <c r="Z10" s="24">
        <v>108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14</v>
      </c>
      <c r="J11" s="44">
        <v>134</v>
      </c>
      <c r="K11" s="44">
        <v>85</v>
      </c>
      <c r="L11" s="44">
        <v>92</v>
      </c>
      <c r="M11" s="44">
        <v>115</v>
      </c>
      <c r="N11" s="44">
        <v>145</v>
      </c>
      <c r="O11" s="44">
        <v>103</v>
      </c>
      <c r="P11" s="44">
        <v>155</v>
      </c>
      <c r="Q11" s="44">
        <v>149</v>
      </c>
      <c r="R11" s="44">
        <v>65</v>
      </c>
      <c r="S11" s="44">
        <v>181</v>
      </c>
      <c r="T11" s="44">
        <v>155</v>
      </c>
      <c r="U11" s="44">
        <v>101</v>
      </c>
      <c r="V11" s="44">
        <v>158</v>
      </c>
      <c r="W11" s="44">
        <v>155</v>
      </c>
      <c r="X11" s="44">
        <v>179</v>
      </c>
      <c r="Y11" s="44">
        <v>194</v>
      </c>
      <c r="Z11" s="44">
        <v>108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14</v>
      </c>
      <c r="J13" s="24">
        <v>133</v>
      </c>
      <c r="K13" s="24">
        <v>82</v>
      </c>
      <c r="L13" s="24">
        <v>92</v>
      </c>
      <c r="M13" s="24">
        <v>115</v>
      </c>
      <c r="N13" s="24">
        <v>145</v>
      </c>
      <c r="O13" s="24">
        <v>103</v>
      </c>
      <c r="P13" s="24">
        <v>155</v>
      </c>
      <c r="Q13" s="24">
        <v>148</v>
      </c>
      <c r="R13" s="24">
        <v>65</v>
      </c>
      <c r="S13" s="24">
        <v>179</v>
      </c>
      <c r="T13" s="24">
        <v>155</v>
      </c>
      <c r="U13" s="24">
        <v>100</v>
      </c>
      <c r="V13" s="24">
        <v>158</v>
      </c>
      <c r="W13" s="24">
        <v>155</v>
      </c>
      <c r="X13" s="24">
        <v>179</v>
      </c>
      <c r="Y13" s="24">
        <v>191</v>
      </c>
      <c r="Z13" s="24">
        <v>106</v>
      </c>
      <c r="AA13" s="119">
        <f>IFERROR(SUM(I13:Z13)/SUM(I14:Z14),0)</f>
        <v>0.99431818181818177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14</v>
      </c>
      <c r="J14" s="44">
        <v>134</v>
      </c>
      <c r="K14" s="44">
        <v>85</v>
      </c>
      <c r="L14" s="44">
        <v>92</v>
      </c>
      <c r="M14" s="44">
        <v>115</v>
      </c>
      <c r="N14" s="44">
        <v>145</v>
      </c>
      <c r="O14" s="44">
        <v>103</v>
      </c>
      <c r="P14" s="44">
        <v>155</v>
      </c>
      <c r="Q14" s="44">
        <v>149</v>
      </c>
      <c r="R14" s="44">
        <v>65</v>
      </c>
      <c r="S14" s="44">
        <v>181</v>
      </c>
      <c r="T14" s="44">
        <v>155</v>
      </c>
      <c r="U14" s="44">
        <v>101</v>
      </c>
      <c r="V14" s="44">
        <v>158</v>
      </c>
      <c r="W14" s="44">
        <v>155</v>
      </c>
      <c r="X14" s="44">
        <v>179</v>
      </c>
      <c r="Y14" s="44">
        <v>194</v>
      </c>
      <c r="Z14" s="44">
        <v>108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14</v>
      </c>
      <c r="J16" s="24">
        <v>133</v>
      </c>
      <c r="K16" s="24">
        <v>85</v>
      </c>
      <c r="L16" s="24">
        <v>92</v>
      </c>
      <c r="M16" s="24">
        <v>115</v>
      </c>
      <c r="N16" s="24">
        <v>145</v>
      </c>
      <c r="O16" s="24">
        <v>103</v>
      </c>
      <c r="P16" s="24">
        <v>155</v>
      </c>
      <c r="Q16" s="24">
        <v>149</v>
      </c>
      <c r="R16" s="24">
        <v>65</v>
      </c>
      <c r="S16" s="24">
        <v>181</v>
      </c>
      <c r="T16" s="24">
        <v>155</v>
      </c>
      <c r="U16" s="24">
        <v>101</v>
      </c>
      <c r="V16" s="24">
        <v>158</v>
      </c>
      <c r="W16" s="24">
        <v>155</v>
      </c>
      <c r="X16" s="24">
        <v>179</v>
      </c>
      <c r="Y16" s="24">
        <v>194</v>
      </c>
      <c r="Z16" s="24">
        <v>108</v>
      </c>
      <c r="AA16" s="119">
        <f>IFERROR(SUM(I16:Z16)/SUM(I17:Z17),0)</f>
        <v>0.99956293706293708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14</v>
      </c>
      <c r="J17" s="44">
        <v>134</v>
      </c>
      <c r="K17" s="44">
        <v>85</v>
      </c>
      <c r="L17" s="44">
        <v>92</v>
      </c>
      <c r="M17" s="44">
        <v>115</v>
      </c>
      <c r="N17" s="44">
        <v>145</v>
      </c>
      <c r="O17" s="44">
        <v>103</v>
      </c>
      <c r="P17" s="44">
        <v>155</v>
      </c>
      <c r="Q17" s="44">
        <v>149</v>
      </c>
      <c r="R17" s="44">
        <v>65</v>
      </c>
      <c r="S17" s="44">
        <v>181</v>
      </c>
      <c r="T17" s="44">
        <v>155</v>
      </c>
      <c r="U17" s="44">
        <v>101</v>
      </c>
      <c r="V17" s="44">
        <v>158</v>
      </c>
      <c r="W17" s="44">
        <v>155</v>
      </c>
      <c r="X17" s="44">
        <v>179</v>
      </c>
      <c r="Y17" s="44">
        <v>194</v>
      </c>
      <c r="Z17" s="44">
        <v>108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0</v>
      </c>
      <c r="J19" s="24">
        <v>195</v>
      </c>
      <c r="K19" s="24">
        <v>107</v>
      </c>
      <c r="L19" s="24">
        <v>91</v>
      </c>
      <c r="M19" s="24">
        <v>80</v>
      </c>
      <c r="N19" s="24">
        <v>155</v>
      </c>
      <c r="O19" s="24">
        <v>90</v>
      </c>
      <c r="P19" s="24">
        <v>120</v>
      </c>
      <c r="Q19" s="24">
        <v>195</v>
      </c>
      <c r="R19" s="24">
        <v>75</v>
      </c>
      <c r="S19" s="24">
        <v>97</v>
      </c>
      <c r="T19" s="24">
        <v>179</v>
      </c>
      <c r="U19" s="24">
        <v>117</v>
      </c>
      <c r="V19" s="24">
        <v>163</v>
      </c>
      <c r="W19" s="24">
        <v>136</v>
      </c>
      <c r="X19" s="24">
        <v>192</v>
      </c>
      <c r="Y19" s="24">
        <v>103</v>
      </c>
      <c r="Z19" s="24">
        <v>159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0</v>
      </c>
      <c r="J20" s="44">
        <v>195</v>
      </c>
      <c r="K20" s="44">
        <v>107</v>
      </c>
      <c r="L20" s="44">
        <v>91</v>
      </c>
      <c r="M20" s="44">
        <v>80</v>
      </c>
      <c r="N20" s="44">
        <v>155</v>
      </c>
      <c r="O20" s="44">
        <v>90</v>
      </c>
      <c r="P20" s="44">
        <v>120</v>
      </c>
      <c r="Q20" s="44">
        <v>195</v>
      </c>
      <c r="R20" s="44">
        <v>75</v>
      </c>
      <c r="S20" s="44">
        <v>97</v>
      </c>
      <c r="T20" s="44">
        <v>179</v>
      </c>
      <c r="U20" s="44">
        <v>117</v>
      </c>
      <c r="V20" s="44">
        <v>163</v>
      </c>
      <c r="W20" s="44">
        <v>136</v>
      </c>
      <c r="X20" s="44">
        <v>192</v>
      </c>
      <c r="Y20" s="44">
        <v>103</v>
      </c>
      <c r="Z20" s="44">
        <v>159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540</v>
      </c>
      <c r="J22" s="24">
        <v>617</v>
      </c>
      <c r="K22" s="24">
        <v>401</v>
      </c>
      <c r="L22" s="24">
        <v>371</v>
      </c>
      <c r="M22" s="24">
        <v>333</v>
      </c>
      <c r="N22" s="24">
        <v>420</v>
      </c>
      <c r="O22" s="24">
        <v>425</v>
      </c>
      <c r="P22" s="24">
        <v>373</v>
      </c>
      <c r="Q22" s="24">
        <v>480</v>
      </c>
      <c r="R22" s="24">
        <v>485</v>
      </c>
      <c r="S22" s="24">
        <v>360</v>
      </c>
      <c r="T22" s="24">
        <v>443</v>
      </c>
      <c r="U22" s="24">
        <v>464</v>
      </c>
      <c r="V22" s="24">
        <v>418</v>
      </c>
      <c r="W22" s="24">
        <v>434</v>
      </c>
      <c r="X22" s="24">
        <v>500</v>
      </c>
      <c r="Y22" s="24">
        <v>412</v>
      </c>
      <c r="Z22" s="24">
        <v>439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540</v>
      </c>
      <c r="J23" s="44">
        <v>617</v>
      </c>
      <c r="K23" s="44">
        <v>401</v>
      </c>
      <c r="L23" s="44">
        <v>371</v>
      </c>
      <c r="M23" s="44">
        <v>333</v>
      </c>
      <c r="N23" s="44">
        <v>420</v>
      </c>
      <c r="O23" s="44">
        <v>425</v>
      </c>
      <c r="P23" s="44">
        <v>373</v>
      </c>
      <c r="Q23" s="44">
        <v>480</v>
      </c>
      <c r="R23" s="44">
        <v>485</v>
      </c>
      <c r="S23" s="44">
        <v>360</v>
      </c>
      <c r="T23" s="44">
        <v>443</v>
      </c>
      <c r="U23" s="44">
        <v>464</v>
      </c>
      <c r="V23" s="44">
        <v>418</v>
      </c>
      <c r="W23" s="44">
        <v>434</v>
      </c>
      <c r="X23" s="44">
        <v>500</v>
      </c>
      <c r="Y23" s="44">
        <v>412</v>
      </c>
      <c r="Z23" s="44">
        <v>439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36</v>
      </c>
      <c r="J25" s="24">
        <v>118</v>
      </c>
      <c r="K25" s="24">
        <v>316</v>
      </c>
      <c r="L25" s="24">
        <v>121</v>
      </c>
      <c r="M25" s="24">
        <v>118</v>
      </c>
      <c r="N25" s="24">
        <v>68</v>
      </c>
      <c r="O25" s="24">
        <v>85</v>
      </c>
      <c r="P25" s="24">
        <v>172</v>
      </c>
      <c r="Q25" s="24">
        <v>88</v>
      </c>
      <c r="R25" s="24">
        <v>70</v>
      </c>
      <c r="S25" s="24">
        <v>219</v>
      </c>
      <c r="T25" s="24">
        <v>96</v>
      </c>
      <c r="U25" s="24">
        <v>96</v>
      </c>
      <c r="V25" s="24">
        <v>209</v>
      </c>
      <c r="W25" s="24">
        <v>120</v>
      </c>
      <c r="X25" s="24">
        <v>126</v>
      </c>
      <c r="Y25" s="24">
        <v>191</v>
      </c>
      <c r="Z25" s="24">
        <v>132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36</v>
      </c>
      <c r="J26" s="44">
        <v>118</v>
      </c>
      <c r="K26" s="44">
        <v>316</v>
      </c>
      <c r="L26" s="44">
        <v>121</v>
      </c>
      <c r="M26" s="44">
        <v>118</v>
      </c>
      <c r="N26" s="44">
        <v>68</v>
      </c>
      <c r="O26" s="44">
        <v>85</v>
      </c>
      <c r="P26" s="44">
        <v>172</v>
      </c>
      <c r="Q26" s="44">
        <v>88</v>
      </c>
      <c r="R26" s="44">
        <v>70</v>
      </c>
      <c r="S26" s="44">
        <v>219</v>
      </c>
      <c r="T26" s="44">
        <v>96</v>
      </c>
      <c r="U26" s="44">
        <v>96</v>
      </c>
      <c r="V26" s="44">
        <v>209</v>
      </c>
      <c r="W26" s="44">
        <v>120</v>
      </c>
      <c r="X26" s="44">
        <v>126</v>
      </c>
      <c r="Y26" s="44">
        <v>191</v>
      </c>
      <c r="Z26" s="44">
        <v>132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G25:G26"/>
    <mergeCell ref="AA25:AA26"/>
    <mergeCell ref="A24:AA24"/>
    <mergeCell ref="A25:A26"/>
    <mergeCell ref="B25:B26"/>
    <mergeCell ref="C25:C26"/>
    <mergeCell ref="D25:D26"/>
    <mergeCell ref="E25:E26"/>
    <mergeCell ref="F25:F26"/>
    <mergeCell ref="E22:E23"/>
    <mergeCell ref="F19:F20"/>
    <mergeCell ref="G19:G20"/>
    <mergeCell ref="AA19:AA20"/>
    <mergeCell ref="A19:A20"/>
    <mergeCell ref="B19:B20"/>
    <mergeCell ref="C19:C20"/>
    <mergeCell ref="D19:D20"/>
    <mergeCell ref="E19:E20"/>
    <mergeCell ref="F22:F23"/>
    <mergeCell ref="G22:G23"/>
    <mergeCell ref="AA22:AA23"/>
    <mergeCell ref="A22:A23"/>
    <mergeCell ref="B22:B23"/>
    <mergeCell ref="C22:C23"/>
    <mergeCell ref="D22:D23"/>
    <mergeCell ref="F16:F17"/>
    <mergeCell ref="G16:G17"/>
    <mergeCell ref="AA16:AA17"/>
    <mergeCell ref="A18:AA18"/>
    <mergeCell ref="A16:A17"/>
    <mergeCell ref="B16:B17"/>
    <mergeCell ref="C16:C17"/>
    <mergeCell ref="D16:D17"/>
    <mergeCell ref="E16:E17"/>
    <mergeCell ref="F13:F14"/>
    <mergeCell ref="G13:G14"/>
    <mergeCell ref="AA13:AA14"/>
    <mergeCell ref="A15:AA15"/>
    <mergeCell ref="A13:A14"/>
    <mergeCell ref="B13:B14"/>
    <mergeCell ref="C13:C14"/>
    <mergeCell ref="D13:D14"/>
    <mergeCell ref="E13:E14"/>
    <mergeCell ref="A12:AA12"/>
    <mergeCell ref="A10:A11"/>
    <mergeCell ref="B10:B11"/>
    <mergeCell ref="C10:C11"/>
    <mergeCell ref="D10:D11"/>
    <mergeCell ref="E10:E11"/>
    <mergeCell ref="A1:AA1"/>
    <mergeCell ref="F2:G2"/>
    <mergeCell ref="A4:AA4"/>
    <mergeCell ref="A5:AA5"/>
    <mergeCell ref="F10:F11"/>
    <mergeCell ref="G10:G11"/>
    <mergeCell ref="AA10:AA11"/>
    <mergeCell ref="A6:A9"/>
    <mergeCell ref="B6:H6"/>
    <mergeCell ref="I6:Z6"/>
    <mergeCell ref="AA6:AA9"/>
    <mergeCell ref="B7:D7"/>
    <mergeCell ref="E7:H7"/>
    <mergeCell ref="I7:Z7"/>
    <mergeCell ref="B8:Z8"/>
    <mergeCell ref="W2:AA2"/>
    <mergeCell ref="I29:L29"/>
    <mergeCell ref="B34:M34"/>
    <mergeCell ref="B35:G35"/>
    <mergeCell ref="H35:M35"/>
    <mergeCell ref="B36:G37"/>
    <mergeCell ref="H36:M37"/>
  </mergeCells>
  <conditionalFormatting sqref="I21:Z21">
    <cfRule type="colorScale" priority="3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441" priority="18" operator="greaterThan">
      <formula>95%</formula>
    </cfRule>
    <cfRule type="cellIs" dxfId="440" priority="19" operator="greaterThanOrEqual">
      <formula>90%</formula>
    </cfRule>
    <cfRule type="cellIs" dxfId="439" priority="20" operator="lessThan">
      <formula>89.99%</formula>
    </cfRule>
  </conditionalFormatting>
  <conditionalFormatting sqref="AA13">
    <cfRule type="cellIs" dxfId="438" priority="15" operator="greaterThan">
      <formula>95%</formula>
    </cfRule>
    <cfRule type="cellIs" dxfId="437" priority="16" operator="greaterThanOrEqual">
      <formula>90%</formula>
    </cfRule>
    <cfRule type="cellIs" dxfId="436" priority="17" operator="lessThan">
      <formula>89.99%</formula>
    </cfRule>
  </conditionalFormatting>
  <conditionalFormatting sqref="AA16">
    <cfRule type="cellIs" dxfId="435" priority="12" operator="greaterThan">
      <formula>95%</formula>
    </cfRule>
    <cfRule type="cellIs" dxfId="434" priority="13" operator="greaterThanOrEqual">
      <formula>90%</formula>
    </cfRule>
    <cfRule type="cellIs" dxfId="433" priority="14" operator="lessThan">
      <formula>89.99%</formula>
    </cfRule>
  </conditionalFormatting>
  <conditionalFormatting sqref="AA19">
    <cfRule type="cellIs" dxfId="432" priority="9" operator="greaterThan">
      <formula>95%</formula>
    </cfRule>
    <cfRule type="cellIs" dxfId="431" priority="10" operator="greaterThanOrEqual">
      <formula>90%</formula>
    </cfRule>
    <cfRule type="cellIs" dxfId="430" priority="11" operator="lessThan">
      <formula>89.99%</formula>
    </cfRule>
  </conditionalFormatting>
  <conditionalFormatting sqref="AA22">
    <cfRule type="cellIs" dxfId="429" priority="1" operator="greaterThanOrEqual">
      <formula>100%</formula>
    </cfRule>
    <cfRule type="cellIs" dxfId="428" priority="2" operator="lessThan">
      <formula>99.99%</formula>
    </cfRule>
  </conditionalFormatting>
  <conditionalFormatting sqref="AA25">
    <cfRule type="cellIs" dxfId="427" priority="3" operator="greaterThan">
      <formula>95%</formula>
    </cfRule>
    <cfRule type="cellIs" dxfId="426" priority="4" operator="greaterThanOrEqual">
      <formula>90%</formula>
    </cfRule>
    <cfRule type="cellIs" dxfId="425" priority="5" operator="lessThan">
      <formula>89.99%</formula>
    </cfRule>
  </conditionalFormatting>
  <dataValidations count="1">
    <dataValidation showDropDown="1" showInputMessage="1" showErrorMessage="1" sqref="C21 G19:G23 G10:G11 G16:G17 G13:G14 G25:G26" xr:uid="{DC29EDC6-4396-44EA-8454-C42BDEDF97FB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A1:AM38"/>
  <sheetViews>
    <sheetView showGridLines="0" zoomScale="53" zoomScaleNormal="53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4</v>
      </c>
      <c r="F2" s="129" t="s">
        <v>25</v>
      </c>
      <c r="G2" s="129"/>
      <c r="H2" s="22">
        <v>160455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58</v>
      </c>
      <c r="J10" s="24">
        <v>324</v>
      </c>
      <c r="K10" s="24">
        <v>337</v>
      </c>
      <c r="L10" s="24">
        <v>370</v>
      </c>
      <c r="M10" s="24">
        <v>381</v>
      </c>
      <c r="N10" s="24">
        <v>375</v>
      </c>
      <c r="O10" s="24">
        <v>352</v>
      </c>
      <c r="P10" s="24">
        <v>411</v>
      </c>
      <c r="Q10" s="24">
        <v>372</v>
      </c>
      <c r="R10" s="24">
        <v>300</v>
      </c>
      <c r="S10" s="24">
        <v>418</v>
      </c>
      <c r="T10" s="24">
        <v>436</v>
      </c>
      <c r="U10" s="24">
        <v>433</v>
      </c>
      <c r="V10" s="24">
        <v>514</v>
      </c>
      <c r="W10" s="24">
        <v>546</v>
      </c>
      <c r="X10" s="24">
        <v>542</v>
      </c>
      <c r="Y10" s="24">
        <v>663</v>
      </c>
      <c r="Z10" s="24">
        <v>533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58</v>
      </c>
      <c r="J11" s="44">
        <v>324</v>
      </c>
      <c r="K11" s="44">
        <v>337</v>
      </c>
      <c r="L11" s="44">
        <v>370</v>
      </c>
      <c r="M11" s="44">
        <v>381</v>
      </c>
      <c r="N11" s="44">
        <v>375</v>
      </c>
      <c r="O11" s="44">
        <v>352</v>
      </c>
      <c r="P11" s="44">
        <v>411</v>
      </c>
      <c r="Q11" s="44">
        <v>372</v>
      </c>
      <c r="R11" s="44">
        <v>300</v>
      </c>
      <c r="S11" s="44">
        <v>418</v>
      </c>
      <c r="T11" s="44">
        <v>436</v>
      </c>
      <c r="U11" s="44">
        <v>433</v>
      </c>
      <c r="V11" s="44">
        <v>514</v>
      </c>
      <c r="W11" s="44">
        <v>546</v>
      </c>
      <c r="X11" s="44">
        <v>542</v>
      </c>
      <c r="Y11" s="44">
        <v>663</v>
      </c>
      <c r="Z11" s="44">
        <v>533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58</v>
      </c>
      <c r="J13" s="24">
        <v>319</v>
      </c>
      <c r="K13" s="24">
        <v>336</v>
      </c>
      <c r="L13" s="24">
        <v>365</v>
      </c>
      <c r="M13" s="24">
        <v>375</v>
      </c>
      <c r="N13" s="24">
        <v>373</v>
      </c>
      <c r="O13" s="24">
        <v>350</v>
      </c>
      <c r="P13" s="24">
        <v>409</v>
      </c>
      <c r="Q13" s="24">
        <v>371</v>
      </c>
      <c r="R13" s="24">
        <v>298</v>
      </c>
      <c r="S13" s="24">
        <v>418</v>
      </c>
      <c r="T13" s="24">
        <v>431</v>
      </c>
      <c r="U13" s="24">
        <v>426</v>
      </c>
      <c r="V13" s="24">
        <v>507</v>
      </c>
      <c r="W13" s="24">
        <v>543</v>
      </c>
      <c r="X13" s="24">
        <v>535</v>
      </c>
      <c r="Y13" s="24">
        <v>660</v>
      </c>
      <c r="Z13" s="24">
        <v>531</v>
      </c>
      <c r="AA13" s="119">
        <f>IFERROR(SUM(I13:Z13)/SUM(I14:Z14),0)</f>
        <v>0.99185336048879835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58</v>
      </c>
      <c r="J14" s="44">
        <v>324</v>
      </c>
      <c r="K14" s="44">
        <v>337</v>
      </c>
      <c r="L14" s="44">
        <v>370</v>
      </c>
      <c r="M14" s="44">
        <v>381</v>
      </c>
      <c r="N14" s="44">
        <v>375</v>
      </c>
      <c r="O14" s="44">
        <v>352</v>
      </c>
      <c r="P14" s="44">
        <v>411</v>
      </c>
      <c r="Q14" s="44">
        <v>372</v>
      </c>
      <c r="R14" s="44">
        <v>300</v>
      </c>
      <c r="S14" s="44">
        <v>418</v>
      </c>
      <c r="T14" s="44">
        <v>436</v>
      </c>
      <c r="U14" s="44">
        <v>433</v>
      </c>
      <c r="V14" s="44">
        <v>514</v>
      </c>
      <c r="W14" s="44">
        <v>546</v>
      </c>
      <c r="X14" s="44">
        <v>542</v>
      </c>
      <c r="Y14" s="44">
        <v>663</v>
      </c>
      <c r="Z14" s="44">
        <v>533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58</v>
      </c>
      <c r="J16" s="24">
        <v>324</v>
      </c>
      <c r="K16" s="24">
        <v>337</v>
      </c>
      <c r="L16" s="24">
        <v>370</v>
      </c>
      <c r="M16" s="24">
        <v>381</v>
      </c>
      <c r="N16" s="24">
        <v>375</v>
      </c>
      <c r="O16" s="24">
        <v>352</v>
      </c>
      <c r="P16" s="24">
        <v>411</v>
      </c>
      <c r="Q16" s="24">
        <v>372</v>
      </c>
      <c r="R16" s="24">
        <v>300</v>
      </c>
      <c r="S16" s="24">
        <v>418</v>
      </c>
      <c r="T16" s="24">
        <v>436</v>
      </c>
      <c r="U16" s="24">
        <v>433</v>
      </c>
      <c r="V16" s="24">
        <v>514</v>
      </c>
      <c r="W16" s="24">
        <v>546</v>
      </c>
      <c r="X16" s="24">
        <v>542</v>
      </c>
      <c r="Y16" s="24">
        <v>663</v>
      </c>
      <c r="Z16" s="24">
        <v>533</v>
      </c>
      <c r="AA16" s="119">
        <f>IFERROR(SUM(I16:Z16)/SUM(I17:Z17),0)</f>
        <v>1.0001357957631722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58</v>
      </c>
      <c r="J17" s="44">
        <v>324</v>
      </c>
      <c r="K17" s="44">
        <v>337</v>
      </c>
      <c r="L17" s="44">
        <v>370</v>
      </c>
      <c r="M17" s="44">
        <v>381</v>
      </c>
      <c r="N17" s="44">
        <v>375</v>
      </c>
      <c r="O17" s="44">
        <v>352</v>
      </c>
      <c r="P17" s="44">
        <v>411</v>
      </c>
      <c r="Q17" s="44">
        <v>372</v>
      </c>
      <c r="R17" s="44">
        <v>299</v>
      </c>
      <c r="S17" s="44">
        <v>418</v>
      </c>
      <c r="T17" s="44">
        <v>436</v>
      </c>
      <c r="U17" s="44">
        <v>433</v>
      </c>
      <c r="V17" s="44">
        <v>514</v>
      </c>
      <c r="W17" s="44">
        <v>546</v>
      </c>
      <c r="X17" s="44">
        <v>542</v>
      </c>
      <c r="Y17" s="44">
        <v>663</v>
      </c>
      <c r="Z17" s="44">
        <v>533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138</v>
      </c>
      <c r="J19" s="24">
        <v>346</v>
      </c>
      <c r="K19" s="24">
        <v>344</v>
      </c>
      <c r="L19" s="24">
        <v>327</v>
      </c>
      <c r="M19" s="24">
        <v>378</v>
      </c>
      <c r="N19" s="24">
        <v>384</v>
      </c>
      <c r="O19" s="24">
        <v>372</v>
      </c>
      <c r="P19" s="24">
        <v>304</v>
      </c>
      <c r="Q19" s="24">
        <v>460</v>
      </c>
      <c r="R19" s="24">
        <v>285</v>
      </c>
      <c r="S19" s="24">
        <v>312</v>
      </c>
      <c r="T19" s="24">
        <v>480</v>
      </c>
      <c r="U19" s="24">
        <v>154</v>
      </c>
      <c r="V19" s="24">
        <v>831</v>
      </c>
      <c r="W19" s="24">
        <v>546</v>
      </c>
      <c r="X19" s="24">
        <v>386</v>
      </c>
      <c r="Y19" s="24">
        <v>498</v>
      </c>
      <c r="Z19" s="24">
        <v>306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138</v>
      </c>
      <c r="J20" s="44">
        <v>346</v>
      </c>
      <c r="K20" s="44">
        <v>344</v>
      </c>
      <c r="L20" s="44">
        <v>327</v>
      </c>
      <c r="M20" s="44">
        <v>378</v>
      </c>
      <c r="N20" s="44">
        <v>384</v>
      </c>
      <c r="O20" s="44">
        <v>372</v>
      </c>
      <c r="P20" s="44">
        <v>304</v>
      </c>
      <c r="Q20" s="44">
        <v>460</v>
      </c>
      <c r="R20" s="44">
        <v>285</v>
      </c>
      <c r="S20" s="44">
        <v>312</v>
      </c>
      <c r="T20" s="44">
        <v>480</v>
      </c>
      <c r="U20" s="44">
        <v>154</v>
      </c>
      <c r="V20" s="44">
        <v>831</v>
      </c>
      <c r="W20" s="44">
        <v>546</v>
      </c>
      <c r="X20" s="44">
        <v>386</v>
      </c>
      <c r="Y20" s="44">
        <v>498</v>
      </c>
      <c r="Z20" s="44">
        <v>306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973</v>
      </c>
      <c r="J22" s="24">
        <v>996</v>
      </c>
      <c r="K22" s="24">
        <v>991</v>
      </c>
      <c r="L22" s="24">
        <v>939</v>
      </c>
      <c r="M22" s="24">
        <v>972</v>
      </c>
      <c r="N22" s="24">
        <v>950</v>
      </c>
      <c r="O22" s="24">
        <v>970</v>
      </c>
      <c r="P22" s="24">
        <v>886</v>
      </c>
      <c r="Q22" s="24">
        <v>961</v>
      </c>
      <c r="R22" s="24">
        <v>925</v>
      </c>
      <c r="S22" s="24">
        <v>861</v>
      </c>
      <c r="T22" s="24">
        <v>943</v>
      </c>
      <c r="U22" s="24">
        <v>793</v>
      </c>
      <c r="V22" s="24">
        <v>1149</v>
      </c>
      <c r="W22" s="24">
        <v>1165</v>
      </c>
      <c r="X22" s="24">
        <v>1010</v>
      </c>
      <c r="Y22" s="24">
        <v>890</v>
      </c>
      <c r="Z22" s="24">
        <v>783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973</v>
      </c>
      <c r="J23" s="44">
        <v>996</v>
      </c>
      <c r="K23" s="44">
        <v>991</v>
      </c>
      <c r="L23" s="44">
        <v>939</v>
      </c>
      <c r="M23" s="44">
        <v>972</v>
      </c>
      <c r="N23" s="44">
        <v>950</v>
      </c>
      <c r="O23" s="44">
        <v>970</v>
      </c>
      <c r="P23" s="44">
        <v>886</v>
      </c>
      <c r="Q23" s="44">
        <v>961</v>
      </c>
      <c r="R23" s="44">
        <v>925</v>
      </c>
      <c r="S23" s="44">
        <v>861</v>
      </c>
      <c r="T23" s="44">
        <v>943</v>
      </c>
      <c r="U23" s="44">
        <v>793</v>
      </c>
      <c r="V23" s="44">
        <v>1149</v>
      </c>
      <c r="W23" s="44">
        <v>1165</v>
      </c>
      <c r="X23" s="44">
        <v>1010</v>
      </c>
      <c r="Y23" s="44">
        <v>890</v>
      </c>
      <c r="Z23" s="44">
        <v>783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66</v>
      </c>
      <c r="J25" s="24">
        <v>323</v>
      </c>
      <c r="K25" s="24">
        <v>338</v>
      </c>
      <c r="L25" s="24">
        <v>379</v>
      </c>
      <c r="M25" s="24">
        <v>345</v>
      </c>
      <c r="N25" s="24">
        <v>400</v>
      </c>
      <c r="O25" s="24">
        <v>352</v>
      </c>
      <c r="P25" s="24">
        <v>388</v>
      </c>
      <c r="Q25" s="24">
        <v>385</v>
      </c>
      <c r="R25" s="24">
        <v>321</v>
      </c>
      <c r="S25" s="24">
        <v>368</v>
      </c>
      <c r="T25" s="24">
        <v>398</v>
      </c>
      <c r="U25" s="24">
        <v>304</v>
      </c>
      <c r="V25" s="24">
        <v>475</v>
      </c>
      <c r="W25" s="24">
        <v>528</v>
      </c>
      <c r="X25" s="24">
        <v>541</v>
      </c>
      <c r="Y25" s="24">
        <v>618</v>
      </c>
      <c r="Z25" s="24">
        <v>413</v>
      </c>
      <c r="AA25" s="119">
        <f>IFERROR(SUM(I25:Z25)/SUM(I26:Z26),0)</f>
        <v>0.9927069927069927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66</v>
      </c>
      <c r="J26" s="44">
        <v>346</v>
      </c>
      <c r="K26" s="44">
        <v>338</v>
      </c>
      <c r="L26" s="44">
        <v>379</v>
      </c>
      <c r="M26" s="44">
        <v>345</v>
      </c>
      <c r="N26" s="44">
        <v>401</v>
      </c>
      <c r="O26" s="44">
        <v>354</v>
      </c>
      <c r="P26" s="44">
        <v>390</v>
      </c>
      <c r="Q26" s="44">
        <v>387</v>
      </c>
      <c r="R26" s="44">
        <v>322</v>
      </c>
      <c r="S26" s="44">
        <v>370</v>
      </c>
      <c r="T26" s="44">
        <v>398</v>
      </c>
      <c r="U26" s="44">
        <v>308</v>
      </c>
      <c r="V26" s="44">
        <v>482</v>
      </c>
      <c r="W26" s="44">
        <v>532</v>
      </c>
      <c r="X26" s="44">
        <v>544</v>
      </c>
      <c r="Y26" s="44">
        <v>618</v>
      </c>
      <c r="Z26" s="44">
        <v>413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G25:G26"/>
    <mergeCell ref="AA25:AA26"/>
    <mergeCell ref="A24:AA24"/>
    <mergeCell ref="A25:A26"/>
    <mergeCell ref="B25:B26"/>
    <mergeCell ref="C25:C26"/>
    <mergeCell ref="D25:D26"/>
    <mergeCell ref="E25:E26"/>
    <mergeCell ref="F25:F26"/>
    <mergeCell ref="E22:E23"/>
    <mergeCell ref="F19:F20"/>
    <mergeCell ref="G19:G20"/>
    <mergeCell ref="AA19:AA20"/>
    <mergeCell ref="A19:A20"/>
    <mergeCell ref="B19:B20"/>
    <mergeCell ref="C19:C20"/>
    <mergeCell ref="D19:D20"/>
    <mergeCell ref="E19:E20"/>
    <mergeCell ref="F22:F23"/>
    <mergeCell ref="G22:G23"/>
    <mergeCell ref="AA22:AA23"/>
    <mergeCell ref="A22:A23"/>
    <mergeCell ref="B22:B23"/>
    <mergeCell ref="C22:C23"/>
    <mergeCell ref="D22:D23"/>
    <mergeCell ref="F16:F17"/>
    <mergeCell ref="G16:G17"/>
    <mergeCell ref="AA16:AA17"/>
    <mergeCell ref="A18:AA18"/>
    <mergeCell ref="A16:A17"/>
    <mergeCell ref="B16:B17"/>
    <mergeCell ref="C16:C17"/>
    <mergeCell ref="D16:D17"/>
    <mergeCell ref="E16:E17"/>
    <mergeCell ref="F13:F14"/>
    <mergeCell ref="G13:G14"/>
    <mergeCell ref="AA13:AA14"/>
    <mergeCell ref="A15:AA15"/>
    <mergeCell ref="A13:A14"/>
    <mergeCell ref="B13:B14"/>
    <mergeCell ref="C13:C14"/>
    <mergeCell ref="D13:D14"/>
    <mergeCell ref="E13:E14"/>
    <mergeCell ref="A12:AA12"/>
    <mergeCell ref="A10:A11"/>
    <mergeCell ref="B10:B11"/>
    <mergeCell ref="C10:C11"/>
    <mergeCell ref="D10:D11"/>
    <mergeCell ref="E10:E11"/>
    <mergeCell ref="A1:AA1"/>
    <mergeCell ref="F2:G2"/>
    <mergeCell ref="A4:AA4"/>
    <mergeCell ref="A5:AA5"/>
    <mergeCell ref="F10:F11"/>
    <mergeCell ref="G10:G11"/>
    <mergeCell ref="AA10:AA11"/>
    <mergeCell ref="A6:A9"/>
    <mergeCell ref="B6:H6"/>
    <mergeCell ref="I6:Z6"/>
    <mergeCell ref="AA6:AA9"/>
    <mergeCell ref="B7:D7"/>
    <mergeCell ref="E7:H7"/>
    <mergeCell ref="I7:Z7"/>
    <mergeCell ref="B8:Z8"/>
    <mergeCell ref="W2:AA2"/>
    <mergeCell ref="I29:L29"/>
    <mergeCell ref="B34:M34"/>
    <mergeCell ref="B35:G35"/>
    <mergeCell ref="H35:M35"/>
    <mergeCell ref="B36:G37"/>
    <mergeCell ref="H36:M37"/>
  </mergeCells>
  <conditionalFormatting sqref="I21:Z21">
    <cfRule type="colorScale" priority="3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424" priority="18" operator="greaterThan">
      <formula>95%</formula>
    </cfRule>
    <cfRule type="cellIs" dxfId="423" priority="19" operator="greaterThanOrEqual">
      <formula>90%</formula>
    </cfRule>
    <cfRule type="cellIs" dxfId="422" priority="20" operator="lessThan">
      <formula>89.99%</formula>
    </cfRule>
  </conditionalFormatting>
  <conditionalFormatting sqref="AA13">
    <cfRule type="cellIs" dxfId="421" priority="15" operator="greaterThan">
      <formula>95%</formula>
    </cfRule>
    <cfRule type="cellIs" dxfId="420" priority="16" operator="greaterThanOrEqual">
      <formula>90%</formula>
    </cfRule>
    <cfRule type="cellIs" dxfId="419" priority="17" operator="lessThan">
      <formula>89.99%</formula>
    </cfRule>
  </conditionalFormatting>
  <conditionalFormatting sqref="AA16">
    <cfRule type="cellIs" dxfId="418" priority="12" operator="greaterThan">
      <formula>95%</formula>
    </cfRule>
    <cfRule type="cellIs" dxfId="417" priority="13" operator="greaterThanOrEqual">
      <formula>90%</formula>
    </cfRule>
    <cfRule type="cellIs" dxfId="416" priority="14" operator="lessThan">
      <formula>89.99%</formula>
    </cfRule>
  </conditionalFormatting>
  <conditionalFormatting sqref="AA19">
    <cfRule type="cellIs" dxfId="415" priority="9" operator="greaterThan">
      <formula>95%</formula>
    </cfRule>
    <cfRule type="cellIs" dxfId="414" priority="10" operator="greaterThanOrEqual">
      <formula>90%</formula>
    </cfRule>
    <cfRule type="cellIs" dxfId="413" priority="11" operator="lessThan">
      <formula>89.99%</formula>
    </cfRule>
  </conditionalFormatting>
  <conditionalFormatting sqref="AA22">
    <cfRule type="cellIs" dxfId="412" priority="1" operator="greaterThanOrEqual">
      <formula>100%</formula>
    </cfRule>
    <cfRule type="cellIs" dxfId="411" priority="2" operator="lessThan">
      <formula>99.99%</formula>
    </cfRule>
  </conditionalFormatting>
  <conditionalFormatting sqref="AA25">
    <cfRule type="cellIs" dxfId="410" priority="3" operator="greaterThan">
      <formula>95%</formula>
    </cfRule>
    <cfRule type="cellIs" dxfId="409" priority="4" operator="greaterThanOrEqual">
      <formula>90%</formula>
    </cfRule>
    <cfRule type="cellIs" dxfId="408" priority="5" operator="lessThan">
      <formula>89.99%</formula>
    </cfRule>
  </conditionalFormatting>
  <dataValidations disablePrompts="1" count="1">
    <dataValidation showDropDown="1" showInputMessage="1" showErrorMessage="1" sqref="C21 G19:G23 G10:G11 G16:G17 G13:G14 G25:G26" xr:uid="{5B39C7B9-6521-4071-8A5E-90AF67E499AE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0000"/>
  </sheetPr>
  <dimension ref="A1:AM38"/>
  <sheetViews>
    <sheetView showGridLines="0" topLeftCell="A10" zoomScale="68" zoomScaleNormal="68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5</v>
      </c>
      <c r="F2" s="129" t="s">
        <v>25</v>
      </c>
      <c r="G2" s="129"/>
      <c r="H2" s="22">
        <v>160551</v>
      </c>
      <c r="I2" s="21"/>
      <c r="J2" s="21"/>
      <c r="K2" s="21"/>
      <c r="L2" s="21"/>
      <c r="M2" s="21"/>
      <c r="N2" s="21"/>
      <c r="O2" s="21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64</v>
      </c>
      <c r="J10" s="24">
        <v>415</v>
      </c>
      <c r="K10" s="24">
        <v>428</v>
      </c>
      <c r="L10" s="24">
        <v>444</v>
      </c>
      <c r="M10" s="24">
        <v>525</v>
      </c>
      <c r="N10" s="24">
        <v>507</v>
      </c>
      <c r="O10" s="24">
        <v>495</v>
      </c>
      <c r="P10" s="24">
        <v>548</v>
      </c>
      <c r="Q10" s="24">
        <v>511</v>
      </c>
      <c r="R10" s="24">
        <v>413</v>
      </c>
      <c r="S10" s="24">
        <v>597</v>
      </c>
      <c r="T10" s="24">
        <v>674</v>
      </c>
      <c r="U10" s="24">
        <v>586</v>
      </c>
      <c r="V10" s="24">
        <v>744</v>
      </c>
      <c r="W10" s="24">
        <v>779</v>
      </c>
      <c r="X10" s="24">
        <v>707</v>
      </c>
      <c r="Y10" s="24">
        <v>874</v>
      </c>
      <c r="Z10" s="24">
        <v>659</v>
      </c>
      <c r="AA10" s="119">
        <f>IFERROR(SUM(I10:Z10)/SUM(I11:Z11),0)</f>
        <v>0.99670098970308907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64</v>
      </c>
      <c r="J11" s="44">
        <v>419</v>
      </c>
      <c r="K11" s="44">
        <v>429</v>
      </c>
      <c r="L11" s="44">
        <v>447</v>
      </c>
      <c r="M11" s="44">
        <v>524</v>
      </c>
      <c r="N11" s="44">
        <v>509</v>
      </c>
      <c r="O11" s="44">
        <v>497</v>
      </c>
      <c r="P11" s="44">
        <v>551</v>
      </c>
      <c r="Q11" s="44">
        <v>513</v>
      </c>
      <c r="R11" s="44">
        <v>415</v>
      </c>
      <c r="S11" s="44">
        <v>601</v>
      </c>
      <c r="T11" s="44">
        <v>679</v>
      </c>
      <c r="U11" s="44">
        <v>589</v>
      </c>
      <c r="V11" s="44">
        <v>747</v>
      </c>
      <c r="W11" s="44">
        <v>779</v>
      </c>
      <c r="X11" s="44">
        <v>707</v>
      </c>
      <c r="Y11" s="44">
        <v>874</v>
      </c>
      <c r="Z11" s="44">
        <v>659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64</v>
      </c>
      <c r="J13" s="24">
        <v>414</v>
      </c>
      <c r="K13" s="24">
        <v>426</v>
      </c>
      <c r="L13" s="24">
        <v>442</v>
      </c>
      <c r="M13" s="24">
        <v>522</v>
      </c>
      <c r="N13" s="24">
        <v>504</v>
      </c>
      <c r="O13" s="24">
        <v>494</v>
      </c>
      <c r="P13" s="24">
        <v>547</v>
      </c>
      <c r="Q13" s="24">
        <v>509</v>
      </c>
      <c r="R13" s="24">
        <v>411</v>
      </c>
      <c r="S13" s="24">
        <v>594</v>
      </c>
      <c r="T13" s="24">
        <v>670</v>
      </c>
      <c r="U13" s="24">
        <v>585</v>
      </c>
      <c r="V13" s="24">
        <v>740</v>
      </c>
      <c r="W13" s="24">
        <v>772</v>
      </c>
      <c r="X13" s="24">
        <v>700</v>
      </c>
      <c r="Y13" s="24">
        <v>861</v>
      </c>
      <c r="Z13" s="24">
        <v>219</v>
      </c>
      <c r="AA13" s="119">
        <f>IFERROR(SUM(I13:Z13)/SUM(I14:Z14),0)</f>
        <v>0.95025075225677036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64</v>
      </c>
      <c r="J14" s="44">
        <v>415</v>
      </c>
      <c r="K14" s="44">
        <v>428</v>
      </c>
      <c r="L14" s="44">
        <v>444</v>
      </c>
      <c r="M14" s="44">
        <v>525</v>
      </c>
      <c r="N14" s="44">
        <v>507</v>
      </c>
      <c r="O14" s="44">
        <v>495</v>
      </c>
      <c r="P14" s="44">
        <v>549</v>
      </c>
      <c r="Q14" s="44">
        <v>510</v>
      </c>
      <c r="R14" s="44">
        <v>413</v>
      </c>
      <c r="S14" s="44">
        <v>597</v>
      </c>
      <c r="T14" s="44">
        <v>674</v>
      </c>
      <c r="U14" s="44">
        <v>586</v>
      </c>
      <c r="V14" s="44">
        <v>744</v>
      </c>
      <c r="W14" s="44">
        <v>779</v>
      </c>
      <c r="X14" s="44">
        <v>707</v>
      </c>
      <c r="Y14" s="44">
        <v>874</v>
      </c>
      <c r="Z14" s="44">
        <v>659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64</v>
      </c>
      <c r="J16" s="24">
        <v>415</v>
      </c>
      <c r="K16" s="24">
        <v>428</v>
      </c>
      <c r="L16" s="24">
        <v>444</v>
      </c>
      <c r="M16" s="24">
        <v>525</v>
      </c>
      <c r="N16" s="24">
        <v>507</v>
      </c>
      <c r="O16" s="24">
        <v>495</v>
      </c>
      <c r="P16" s="24">
        <v>549</v>
      </c>
      <c r="Q16" s="24">
        <v>510</v>
      </c>
      <c r="R16" s="24">
        <v>413</v>
      </c>
      <c r="S16" s="24">
        <v>597</v>
      </c>
      <c r="T16" s="24">
        <v>674</v>
      </c>
      <c r="U16" s="24">
        <v>586</v>
      </c>
      <c r="V16" s="24">
        <v>744</v>
      </c>
      <c r="W16" s="24">
        <v>779</v>
      </c>
      <c r="X16" s="24">
        <v>707</v>
      </c>
      <c r="Y16" s="24">
        <v>874</v>
      </c>
      <c r="Z16" s="24">
        <v>659</v>
      </c>
      <c r="AA16" s="119">
        <f>IFERROR(SUM(I16:Z16)/SUM(I17:Z17),0)</f>
        <v>1.0091093117408907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64</v>
      </c>
      <c r="J17" s="44">
        <v>415</v>
      </c>
      <c r="K17" s="44">
        <v>428</v>
      </c>
      <c r="L17" s="44">
        <v>444</v>
      </c>
      <c r="M17" s="44">
        <v>525</v>
      </c>
      <c r="N17" s="44">
        <v>507</v>
      </c>
      <c r="O17" s="44">
        <v>495</v>
      </c>
      <c r="P17" s="44">
        <v>549</v>
      </c>
      <c r="Q17" s="44">
        <v>510</v>
      </c>
      <c r="R17" s="44">
        <v>413</v>
      </c>
      <c r="S17" s="44">
        <v>597</v>
      </c>
      <c r="T17" s="44">
        <v>674</v>
      </c>
      <c r="U17" s="44">
        <v>586</v>
      </c>
      <c r="V17" s="44">
        <v>744</v>
      </c>
      <c r="W17" s="44">
        <v>779</v>
      </c>
      <c r="X17" s="44">
        <v>707</v>
      </c>
      <c r="Y17" s="44">
        <v>874</v>
      </c>
      <c r="Z17" s="44">
        <v>569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82</v>
      </c>
      <c r="J19" s="24">
        <v>374</v>
      </c>
      <c r="K19" s="24">
        <v>448</v>
      </c>
      <c r="L19" s="24">
        <v>427</v>
      </c>
      <c r="M19" s="24">
        <v>461</v>
      </c>
      <c r="N19" s="24">
        <v>506</v>
      </c>
      <c r="O19" s="24">
        <v>523</v>
      </c>
      <c r="P19" s="24">
        <v>510</v>
      </c>
      <c r="Q19" s="24">
        <v>536</v>
      </c>
      <c r="R19" s="24">
        <v>495</v>
      </c>
      <c r="S19" s="24">
        <v>333</v>
      </c>
      <c r="T19" s="24">
        <v>706</v>
      </c>
      <c r="U19" s="24">
        <v>685</v>
      </c>
      <c r="V19" s="24">
        <v>743</v>
      </c>
      <c r="W19" s="24">
        <v>751</v>
      </c>
      <c r="X19" s="24">
        <v>584</v>
      </c>
      <c r="Y19" s="24">
        <v>572</v>
      </c>
      <c r="Z19" s="24">
        <v>423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82</v>
      </c>
      <c r="J20" s="44">
        <v>374</v>
      </c>
      <c r="K20" s="44">
        <v>448</v>
      </c>
      <c r="L20" s="44">
        <v>427</v>
      </c>
      <c r="M20" s="44">
        <v>461</v>
      </c>
      <c r="N20" s="44">
        <v>506</v>
      </c>
      <c r="O20" s="44">
        <v>523</v>
      </c>
      <c r="P20" s="44">
        <v>510</v>
      </c>
      <c r="Q20" s="44">
        <v>536</v>
      </c>
      <c r="R20" s="44">
        <v>495</v>
      </c>
      <c r="S20" s="44">
        <v>333</v>
      </c>
      <c r="T20" s="44">
        <v>706</v>
      </c>
      <c r="U20" s="44">
        <v>685</v>
      </c>
      <c r="V20" s="44">
        <v>743</v>
      </c>
      <c r="W20" s="44">
        <v>751</v>
      </c>
      <c r="X20" s="44">
        <v>584</v>
      </c>
      <c r="Y20" s="44">
        <v>572</v>
      </c>
      <c r="Z20" s="44">
        <v>423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1230</v>
      </c>
      <c r="J22" s="24">
        <v>1111</v>
      </c>
      <c r="K22" s="24">
        <v>1171</v>
      </c>
      <c r="L22" s="24">
        <v>1124</v>
      </c>
      <c r="M22" s="24">
        <v>1153</v>
      </c>
      <c r="N22" s="24">
        <v>1168</v>
      </c>
      <c r="O22" s="24">
        <v>1195</v>
      </c>
      <c r="P22" s="24">
        <v>1210</v>
      </c>
      <c r="Q22" s="24">
        <v>1210</v>
      </c>
      <c r="R22" s="24">
        <v>1284</v>
      </c>
      <c r="S22" s="24">
        <v>1026</v>
      </c>
      <c r="T22" s="24">
        <v>1211</v>
      </c>
      <c r="U22" s="24">
        <v>1311</v>
      </c>
      <c r="V22" s="24">
        <v>1443</v>
      </c>
      <c r="W22" s="24">
        <v>1462</v>
      </c>
      <c r="X22" s="24">
        <v>1292</v>
      </c>
      <c r="Y22" s="24">
        <v>1091</v>
      </c>
      <c r="Z22" s="24">
        <v>893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1230</v>
      </c>
      <c r="J23" s="44">
        <v>1111</v>
      </c>
      <c r="K23" s="44">
        <v>1171</v>
      </c>
      <c r="L23" s="44">
        <v>1124</v>
      </c>
      <c r="M23" s="44">
        <v>1153</v>
      </c>
      <c r="N23" s="44">
        <v>1168</v>
      </c>
      <c r="O23" s="44">
        <v>1195</v>
      </c>
      <c r="P23" s="44">
        <v>1210</v>
      </c>
      <c r="Q23" s="44">
        <v>1210</v>
      </c>
      <c r="R23" s="44">
        <v>1284</v>
      </c>
      <c r="S23" s="44">
        <v>1026</v>
      </c>
      <c r="T23" s="44">
        <v>1211</v>
      </c>
      <c r="U23" s="44">
        <v>1311</v>
      </c>
      <c r="V23" s="44">
        <v>1443</v>
      </c>
      <c r="W23" s="44">
        <v>1462</v>
      </c>
      <c r="X23" s="44">
        <v>1292</v>
      </c>
      <c r="Y23" s="44">
        <v>1091</v>
      </c>
      <c r="Z23" s="44">
        <v>893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117</v>
      </c>
      <c r="J25" s="24">
        <v>492</v>
      </c>
      <c r="K25" s="24">
        <v>382</v>
      </c>
      <c r="L25" s="24">
        <v>474</v>
      </c>
      <c r="M25" s="24">
        <v>432</v>
      </c>
      <c r="N25" s="24">
        <v>488</v>
      </c>
      <c r="O25" s="24">
        <v>496</v>
      </c>
      <c r="P25" s="24">
        <v>495</v>
      </c>
      <c r="Q25" s="24">
        <v>536</v>
      </c>
      <c r="R25" s="24">
        <v>421</v>
      </c>
      <c r="S25" s="24">
        <v>586</v>
      </c>
      <c r="T25" s="24">
        <v>521</v>
      </c>
      <c r="U25" s="24">
        <v>585</v>
      </c>
      <c r="V25" s="24">
        <v>611</v>
      </c>
      <c r="W25" s="24">
        <v>731</v>
      </c>
      <c r="X25" s="24">
        <v>754</v>
      </c>
      <c r="Y25" s="24">
        <v>773</v>
      </c>
      <c r="Z25" s="24">
        <v>621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117</v>
      </c>
      <c r="J26" s="44">
        <v>492</v>
      </c>
      <c r="K26" s="44">
        <v>382</v>
      </c>
      <c r="L26" s="44">
        <v>474</v>
      </c>
      <c r="M26" s="44">
        <v>432</v>
      </c>
      <c r="N26" s="44">
        <v>488</v>
      </c>
      <c r="O26" s="44">
        <v>496</v>
      </c>
      <c r="P26" s="44">
        <v>495</v>
      </c>
      <c r="Q26" s="44">
        <v>536</v>
      </c>
      <c r="R26" s="44">
        <v>421</v>
      </c>
      <c r="S26" s="44">
        <v>586</v>
      </c>
      <c r="T26" s="44">
        <v>521</v>
      </c>
      <c r="U26" s="44">
        <v>585</v>
      </c>
      <c r="V26" s="44">
        <v>611</v>
      </c>
      <c r="W26" s="44">
        <v>731</v>
      </c>
      <c r="X26" s="44">
        <v>754</v>
      </c>
      <c r="Y26" s="44">
        <v>773</v>
      </c>
      <c r="Z26" s="44">
        <v>621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G25:G26"/>
    <mergeCell ref="AA25:AA26"/>
    <mergeCell ref="A24:AA24"/>
    <mergeCell ref="A25:A26"/>
    <mergeCell ref="B25:B26"/>
    <mergeCell ref="C25:C26"/>
    <mergeCell ref="D25:D26"/>
    <mergeCell ref="E25:E26"/>
    <mergeCell ref="F25:F26"/>
    <mergeCell ref="E22:E23"/>
    <mergeCell ref="F19:F20"/>
    <mergeCell ref="G19:G20"/>
    <mergeCell ref="AA19:AA20"/>
    <mergeCell ref="A19:A20"/>
    <mergeCell ref="B19:B20"/>
    <mergeCell ref="C19:C20"/>
    <mergeCell ref="D19:D20"/>
    <mergeCell ref="E19:E20"/>
    <mergeCell ref="F22:F23"/>
    <mergeCell ref="G22:G23"/>
    <mergeCell ref="AA22:AA23"/>
    <mergeCell ref="A22:A23"/>
    <mergeCell ref="B22:B23"/>
    <mergeCell ref="C22:C23"/>
    <mergeCell ref="D22:D23"/>
    <mergeCell ref="F16:F17"/>
    <mergeCell ref="G16:G17"/>
    <mergeCell ref="AA16:AA17"/>
    <mergeCell ref="A18:AA18"/>
    <mergeCell ref="A16:A17"/>
    <mergeCell ref="B16:B17"/>
    <mergeCell ref="C16:C17"/>
    <mergeCell ref="D16:D17"/>
    <mergeCell ref="E16:E17"/>
    <mergeCell ref="F13:F14"/>
    <mergeCell ref="G13:G14"/>
    <mergeCell ref="AA13:AA14"/>
    <mergeCell ref="A15:AA15"/>
    <mergeCell ref="A13:A14"/>
    <mergeCell ref="B13:B14"/>
    <mergeCell ref="C13:C14"/>
    <mergeCell ref="D13:D14"/>
    <mergeCell ref="E13:E14"/>
    <mergeCell ref="A12:AA12"/>
    <mergeCell ref="A10:A11"/>
    <mergeCell ref="B10:B11"/>
    <mergeCell ref="C10:C11"/>
    <mergeCell ref="D10:D11"/>
    <mergeCell ref="E10:E11"/>
    <mergeCell ref="A1:AA1"/>
    <mergeCell ref="F2:G2"/>
    <mergeCell ref="A4:AA4"/>
    <mergeCell ref="A5:AA5"/>
    <mergeCell ref="F10:F11"/>
    <mergeCell ref="G10:G11"/>
    <mergeCell ref="AA10:AA11"/>
    <mergeCell ref="A6:A9"/>
    <mergeCell ref="B6:H6"/>
    <mergeCell ref="I6:Z6"/>
    <mergeCell ref="AA6:AA9"/>
    <mergeCell ref="B7:D7"/>
    <mergeCell ref="E7:H7"/>
    <mergeCell ref="I7:Z7"/>
    <mergeCell ref="B8:Z8"/>
    <mergeCell ref="W2:AA2"/>
    <mergeCell ref="I29:L29"/>
    <mergeCell ref="B34:M34"/>
    <mergeCell ref="B35:G35"/>
    <mergeCell ref="H35:M35"/>
    <mergeCell ref="B36:G37"/>
    <mergeCell ref="H36:M37"/>
  </mergeCells>
  <conditionalFormatting sqref="I21:Z21">
    <cfRule type="colorScale" priority="3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407" priority="18" operator="greaterThan">
      <formula>95%</formula>
    </cfRule>
    <cfRule type="cellIs" dxfId="406" priority="19" operator="greaterThanOrEqual">
      <formula>90%</formula>
    </cfRule>
    <cfRule type="cellIs" dxfId="405" priority="20" operator="lessThan">
      <formula>89.99%</formula>
    </cfRule>
  </conditionalFormatting>
  <conditionalFormatting sqref="AA13">
    <cfRule type="cellIs" dxfId="404" priority="15" operator="greaterThan">
      <formula>95%</formula>
    </cfRule>
    <cfRule type="cellIs" dxfId="403" priority="16" operator="greaterThanOrEqual">
      <formula>90%</formula>
    </cfRule>
    <cfRule type="cellIs" dxfId="402" priority="17" operator="lessThan">
      <formula>89.99%</formula>
    </cfRule>
  </conditionalFormatting>
  <conditionalFormatting sqref="AA16">
    <cfRule type="cellIs" dxfId="401" priority="12" operator="greaterThan">
      <formula>95%</formula>
    </cfRule>
    <cfRule type="cellIs" dxfId="400" priority="13" operator="greaterThanOrEqual">
      <formula>90%</formula>
    </cfRule>
    <cfRule type="cellIs" dxfId="399" priority="14" operator="lessThan">
      <formula>89.99%</formula>
    </cfRule>
  </conditionalFormatting>
  <conditionalFormatting sqref="AA19">
    <cfRule type="cellIs" dxfId="398" priority="9" operator="greaterThan">
      <formula>95%</formula>
    </cfRule>
    <cfRule type="cellIs" dxfId="397" priority="10" operator="greaterThanOrEqual">
      <formula>90%</formula>
    </cfRule>
    <cfRule type="cellIs" dxfId="396" priority="11" operator="lessThan">
      <formula>89.99%</formula>
    </cfRule>
  </conditionalFormatting>
  <conditionalFormatting sqref="AA22">
    <cfRule type="cellIs" dxfId="395" priority="1" operator="greaterThanOrEqual">
      <formula>100%</formula>
    </cfRule>
    <cfRule type="cellIs" dxfId="394" priority="2" operator="lessThan">
      <formula>99.99%</formula>
    </cfRule>
  </conditionalFormatting>
  <conditionalFormatting sqref="AA25">
    <cfRule type="cellIs" dxfId="393" priority="3" operator="greaterThan">
      <formula>95%</formula>
    </cfRule>
    <cfRule type="cellIs" dxfId="392" priority="4" operator="greaterThanOrEqual">
      <formula>90%</formula>
    </cfRule>
    <cfRule type="cellIs" dxfId="391" priority="5" operator="lessThan">
      <formula>89.99%</formula>
    </cfRule>
  </conditionalFormatting>
  <dataValidations count="1">
    <dataValidation showDropDown="1" showInputMessage="1" showErrorMessage="1" sqref="C21 G19:G23 G10:G11 G16:G17 G13:G14 G25:G26" xr:uid="{CD4939D7-0A18-475D-9D00-96673085973A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3CDA7-4526-4E7C-ACFB-586CEEEE5AB7}">
  <sheetPr>
    <tabColor rgb="FFFF0000"/>
  </sheetPr>
  <dimension ref="A1:AM38"/>
  <sheetViews>
    <sheetView showGridLines="0" zoomScale="60" zoomScaleNormal="60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5</v>
      </c>
      <c r="F2" s="129" t="s">
        <v>25</v>
      </c>
      <c r="G2" s="129"/>
      <c r="H2" s="22">
        <v>160552</v>
      </c>
      <c r="I2" s="21"/>
      <c r="J2" s="21"/>
      <c r="K2" s="21"/>
      <c r="L2" s="21"/>
      <c r="M2" s="21"/>
      <c r="N2" s="21"/>
      <c r="O2" s="21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61</v>
      </c>
      <c r="J10" s="24">
        <v>288</v>
      </c>
      <c r="K10" s="24">
        <v>290</v>
      </c>
      <c r="L10" s="24">
        <v>288</v>
      </c>
      <c r="M10" s="24">
        <v>289</v>
      </c>
      <c r="N10" s="24">
        <v>285</v>
      </c>
      <c r="O10" s="24">
        <v>297</v>
      </c>
      <c r="P10" s="24">
        <v>271</v>
      </c>
      <c r="Q10" s="24">
        <v>265</v>
      </c>
      <c r="R10" s="24">
        <v>212</v>
      </c>
      <c r="S10" s="24">
        <v>339</v>
      </c>
      <c r="T10" s="24">
        <v>322</v>
      </c>
      <c r="U10" s="24">
        <v>257</v>
      </c>
      <c r="V10" s="24">
        <v>362</v>
      </c>
      <c r="W10" s="24">
        <v>354</v>
      </c>
      <c r="X10" s="24">
        <v>323</v>
      </c>
      <c r="Y10" s="24">
        <v>332</v>
      </c>
      <c r="Z10" s="24">
        <v>265</v>
      </c>
      <c r="AA10" s="119">
        <f>IFERROR(SUM(I10:Z10)/SUM(I11:Z11),0)</f>
        <v>0.99941211052322165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61</v>
      </c>
      <c r="J11" s="44">
        <v>289</v>
      </c>
      <c r="K11" s="44">
        <v>292</v>
      </c>
      <c r="L11" s="44">
        <v>288</v>
      </c>
      <c r="M11" s="44">
        <v>289</v>
      </c>
      <c r="N11" s="44">
        <v>285</v>
      </c>
      <c r="O11" s="44">
        <v>297</v>
      </c>
      <c r="P11" s="44">
        <v>271</v>
      </c>
      <c r="Q11" s="44">
        <v>265</v>
      </c>
      <c r="R11" s="44">
        <v>212</v>
      </c>
      <c r="S11" s="44">
        <v>339</v>
      </c>
      <c r="T11" s="44">
        <v>322</v>
      </c>
      <c r="U11" s="44">
        <v>257</v>
      </c>
      <c r="V11" s="44">
        <v>362</v>
      </c>
      <c r="W11" s="44">
        <v>354</v>
      </c>
      <c r="X11" s="44">
        <v>323</v>
      </c>
      <c r="Y11" s="44">
        <v>332</v>
      </c>
      <c r="Z11" s="44">
        <v>265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59</v>
      </c>
      <c r="J13" s="24">
        <v>288</v>
      </c>
      <c r="K13" s="24">
        <v>290</v>
      </c>
      <c r="L13" s="24">
        <v>284</v>
      </c>
      <c r="M13" s="24">
        <v>288</v>
      </c>
      <c r="N13" s="24">
        <v>284</v>
      </c>
      <c r="O13" s="24">
        <v>296</v>
      </c>
      <c r="P13" s="24">
        <v>269</v>
      </c>
      <c r="Q13" s="24">
        <v>263</v>
      </c>
      <c r="R13" s="24">
        <v>211</v>
      </c>
      <c r="S13" s="24">
        <v>338</v>
      </c>
      <c r="T13" s="24">
        <v>320</v>
      </c>
      <c r="U13" s="24">
        <v>255</v>
      </c>
      <c r="V13" s="24">
        <v>359</v>
      </c>
      <c r="W13" s="24">
        <v>352</v>
      </c>
      <c r="X13" s="24">
        <v>321</v>
      </c>
      <c r="Y13" s="24">
        <v>329</v>
      </c>
      <c r="Z13" s="24">
        <v>263</v>
      </c>
      <c r="AA13" s="119">
        <f>IFERROR(SUM(I13:Z13)/SUM(I14:Z14),0)</f>
        <v>0.99392156862745096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61</v>
      </c>
      <c r="J14" s="44">
        <v>288</v>
      </c>
      <c r="K14" s="44">
        <v>290</v>
      </c>
      <c r="L14" s="44">
        <v>288</v>
      </c>
      <c r="M14" s="44">
        <v>289</v>
      </c>
      <c r="N14" s="44">
        <v>285</v>
      </c>
      <c r="O14" s="44">
        <v>297</v>
      </c>
      <c r="P14" s="44">
        <v>271</v>
      </c>
      <c r="Q14" s="44">
        <v>265</v>
      </c>
      <c r="R14" s="44">
        <v>212</v>
      </c>
      <c r="S14" s="44">
        <v>339</v>
      </c>
      <c r="T14" s="44">
        <v>322</v>
      </c>
      <c r="U14" s="44">
        <v>257</v>
      </c>
      <c r="V14" s="44">
        <v>362</v>
      </c>
      <c r="W14" s="44">
        <v>354</v>
      </c>
      <c r="X14" s="44">
        <v>323</v>
      </c>
      <c r="Y14" s="44">
        <v>332</v>
      </c>
      <c r="Z14" s="44">
        <v>265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61</v>
      </c>
      <c r="J16" s="24">
        <v>288</v>
      </c>
      <c r="K16" s="24">
        <v>290</v>
      </c>
      <c r="L16" s="24">
        <v>288</v>
      </c>
      <c r="M16" s="24">
        <v>289</v>
      </c>
      <c r="N16" s="24">
        <v>285</v>
      </c>
      <c r="O16" s="24">
        <v>297</v>
      </c>
      <c r="P16" s="24">
        <v>271</v>
      </c>
      <c r="Q16" s="24">
        <v>265</v>
      </c>
      <c r="R16" s="24">
        <v>212</v>
      </c>
      <c r="S16" s="24">
        <v>339</v>
      </c>
      <c r="T16" s="24">
        <v>322</v>
      </c>
      <c r="U16" s="24">
        <v>257</v>
      </c>
      <c r="V16" s="24">
        <v>362</v>
      </c>
      <c r="W16" s="24">
        <v>354</v>
      </c>
      <c r="X16" s="24">
        <v>323</v>
      </c>
      <c r="Y16" s="24">
        <v>332</v>
      </c>
      <c r="Z16" s="24">
        <v>265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61</v>
      </c>
      <c r="J17" s="44">
        <v>288</v>
      </c>
      <c r="K17" s="44">
        <v>290</v>
      </c>
      <c r="L17" s="44">
        <v>288</v>
      </c>
      <c r="M17" s="44">
        <v>289</v>
      </c>
      <c r="N17" s="44">
        <v>285</v>
      </c>
      <c r="O17" s="44">
        <v>297</v>
      </c>
      <c r="P17" s="44">
        <v>271</v>
      </c>
      <c r="Q17" s="44">
        <v>265</v>
      </c>
      <c r="R17" s="44">
        <v>212</v>
      </c>
      <c r="S17" s="44">
        <v>339</v>
      </c>
      <c r="T17" s="44">
        <v>322</v>
      </c>
      <c r="U17" s="44">
        <v>257</v>
      </c>
      <c r="V17" s="44">
        <v>362</v>
      </c>
      <c r="W17" s="44">
        <v>354</v>
      </c>
      <c r="X17" s="44">
        <v>323</v>
      </c>
      <c r="Y17" s="44">
        <v>332</v>
      </c>
      <c r="Z17" s="44">
        <v>265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45</v>
      </c>
      <c r="J19" s="24">
        <v>214</v>
      </c>
      <c r="K19" s="24">
        <v>360</v>
      </c>
      <c r="L19" s="24">
        <v>280</v>
      </c>
      <c r="M19" s="24">
        <v>282</v>
      </c>
      <c r="N19" s="24">
        <v>292</v>
      </c>
      <c r="O19" s="24">
        <v>278</v>
      </c>
      <c r="P19" s="24">
        <v>289</v>
      </c>
      <c r="Q19" s="24">
        <v>266</v>
      </c>
      <c r="R19" s="24">
        <v>236</v>
      </c>
      <c r="S19" s="24">
        <v>285</v>
      </c>
      <c r="T19" s="24">
        <v>323</v>
      </c>
      <c r="U19" s="24">
        <v>264</v>
      </c>
      <c r="V19" s="24">
        <v>331</v>
      </c>
      <c r="W19" s="24">
        <v>377</v>
      </c>
      <c r="X19" s="24">
        <v>311</v>
      </c>
      <c r="Y19" s="24">
        <v>205</v>
      </c>
      <c r="Z19" s="24">
        <v>164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45</v>
      </c>
      <c r="J20" s="44">
        <v>214</v>
      </c>
      <c r="K20" s="44">
        <v>360</v>
      </c>
      <c r="L20" s="44">
        <v>280</v>
      </c>
      <c r="M20" s="44">
        <v>282</v>
      </c>
      <c r="N20" s="44">
        <v>292</v>
      </c>
      <c r="O20" s="44">
        <v>278</v>
      </c>
      <c r="P20" s="44">
        <v>289</v>
      </c>
      <c r="Q20" s="44">
        <v>266</v>
      </c>
      <c r="R20" s="44">
        <v>236</v>
      </c>
      <c r="S20" s="44">
        <v>285</v>
      </c>
      <c r="T20" s="44">
        <v>323</v>
      </c>
      <c r="U20" s="44">
        <v>264</v>
      </c>
      <c r="V20" s="44">
        <v>331</v>
      </c>
      <c r="W20" s="44">
        <v>377</v>
      </c>
      <c r="X20" s="44">
        <v>311</v>
      </c>
      <c r="Y20" s="44">
        <v>205</v>
      </c>
      <c r="Z20" s="44">
        <v>164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737</v>
      </c>
      <c r="J22" s="24">
        <v>717</v>
      </c>
      <c r="K22" s="24">
        <v>799</v>
      </c>
      <c r="L22" s="24">
        <v>763</v>
      </c>
      <c r="M22" s="24">
        <v>804</v>
      </c>
      <c r="N22" s="24">
        <v>809</v>
      </c>
      <c r="O22" s="24">
        <v>771</v>
      </c>
      <c r="P22" s="24">
        <v>785</v>
      </c>
      <c r="Q22" s="24">
        <v>753</v>
      </c>
      <c r="R22" s="24">
        <v>764</v>
      </c>
      <c r="S22" s="24">
        <v>751</v>
      </c>
      <c r="T22" s="24">
        <v>793</v>
      </c>
      <c r="U22" s="24">
        <v>748</v>
      </c>
      <c r="V22" s="24">
        <v>795</v>
      </c>
      <c r="W22" s="24">
        <v>852</v>
      </c>
      <c r="X22" s="24">
        <v>796</v>
      </c>
      <c r="Y22" s="24">
        <v>617</v>
      </c>
      <c r="Z22" s="24">
        <v>461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737</v>
      </c>
      <c r="J23" s="44">
        <v>717</v>
      </c>
      <c r="K23" s="44">
        <v>799</v>
      </c>
      <c r="L23" s="44">
        <v>763</v>
      </c>
      <c r="M23" s="44">
        <v>804</v>
      </c>
      <c r="N23" s="44">
        <v>809</v>
      </c>
      <c r="O23" s="44">
        <v>771</v>
      </c>
      <c r="P23" s="44">
        <v>785</v>
      </c>
      <c r="Q23" s="44">
        <v>753</v>
      </c>
      <c r="R23" s="44">
        <v>764</v>
      </c>
      <c r="S23" s="44">
        <v>751</v>
      </c>
      <c r="T23" s="44">
        <v>793</v>
      </c>
      <c r="U23" s="44">
        <v>748</v>
      </c>
      <c r="V23" s="44">
        <v>795</v>
      </c>
      <c r="W23" s="44">
        <v>852</v>
      </c>
      <c r="X23" s="44">
        <v>796</v>
      </c>
      <c r="Y23" s="44">
        <v>617</v>
      </c>
      <c r="Z23" s="44">
        <v>461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73</v>
      </c>
      <c r="J25" s="24">
        <v>234</v>
      </c>
      <c r="K25" s="24">
        <v>277</v>
      </c>
      <c r="L25" s="24">
        <v>316</v>
      </c>
      <c r="M25" s="24">
        <v>241</v>
      </c>
      <c r="N25" s="24">
        <v>285</v>
      </c>
      <c r="O25" s="24">
        <v>316</v>
      </c>
      <c r="P25" s="24">
        <v>275</v>
      </c>
      <c r="Q25" s="24">
        <v>298</v>
      </c>
      <c r="R25" s="24">
        <v>225</v>
      </c>
      <c r="S25" s="24">
        <v>292</v>
      </c>
      <c r="T25" s="24">
        <v>281</v>
      </c>
      <c r="U25" s="24">
        <v>309</v>
      </c>
      <c r="V25" s="24">
        <v>284</v>
      </c>
      <c r="W25" s="24">
        <v>319</v>
      </c>
      <c r="X25" s="24">
        <v>367</v>
      </c>
      <c r="Y25" s="24">
        <v>384</v>
      </c>
      <c r="Z25" s="24">
        <v>320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73</v>
      </c>
      <c r="J26" s="44">
        <v>234</v>
      </c>
      <c r="K26" s="44">
        <v>277</v>
      </c>
      <c r="L26" s="44">
        <v>316</v>
      </c>
      <c r="M26" s="44">
        <v>241</v>
      </c>
      <c r="N26" s="44">
        <v>285</v>
      </c>
      <c r="O26" s="44">
        <v>316</v>
      </c>
      <c r="P26" s="44">
        <v>275</v>
      </c>
      <c r="Q26" s="44">
        <v>298</v>
      </c>
      <c r="R26" s="44">
        <v>225</v>
      </c>
      <c r="S26" s="44">
        <v>292</v>
      </c>
      <c r="T26" s="44">
        <v>281</v>
      </c>
      <c r="U26" s="44">
        <v>309</v>
      </c>
      <c r="V26" s="44">
        <v>284</v>
      </c>
      <c r="W26" s="44">
        <v>319</v>
      </c>
      <c r="X26" s="44">
        <v>367</v>
      </c>
      <c r="Y26" s="44">
        <v>384</v>
      </c>
      <c r="Z26" s="44">
        <v>320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AA25:AA26"/>
    <mergeCell ref="I29:L29"/>
    <mergeCell ref="B34:M34"/>
    <mergeCell ref="B35:G35"/>
    <mergeCell ref="H35:M35"/>
    <mergeCell ref="B36:G37"/>
    <mergeCell ref="H36:M37"/>
    <mergeCell ref="G22:G23"/>
    <mergeCell ref="AA22:AA23"/>
    <mergeCell ref="A24:AA24"/>
    <mergeCell ref="A25:A26"/>
    <mergeCell ref="B25:B26"/>
    <mergeCell ref="C25:C26"/>
    <mergeCell ref="D25:D26"/>
    <mergeCell ref="E25:E26"/>
    <mergeCell ref="F25:F26"/>
    <mergeCell ref="G25:G26"/>
    <mergeCell ref="A22:A23"/>
    <mergeCell ref="B22:B23"/>
    <mergeCell ref="C22:C23"/>
    <mergeCell ref="D22:D23"/>
    <mergeCell ref="E22:E23"/>
    <mergeCell ref="F22:F23"/>
    <mergeCell ref="A18:AA18"/>
    <mergeCell ref="A19:A20"/>
    <mergeCell ref="B19:B20"/>
    <mergeCell ref="C19:C20"/>
    <mergeCell ref="D19:D20"/>
    <mergeCell ref="E19:E20"/>
    <mergeCell ref="F19:F20"/>
    <mergeCell ref="G19:G20"/>
    <mergeCell ref="AA19:AA20"/>
    <mergeCell ref="A15:AA15"/>
    <mergeCell ref="A16:A17"/>
    <mergeCell ref="B16:B17"/>
    <mergeCell ref="C16:C17"/>
    <mergeCell ref="D16:D17"/>
    <mergeCell ref="E16:E17"/>
    <mergeCell ref="F16:F17"/>
    <mergeCell ref="G16:G17"/>
    <mergeCell ref="AA16:AA17"/>
    <mergeCell ref="A10:A11"/>
    <mergeCell ref="B10:B11"/>
    <mergeCell ref="C10:C11"/>
    <mergeCell ref="D10:D11"/>
    <mergeCell ref="E10:E11"/>
    <mergeCell ref="A12:AA12"/>
    <mergeCell ref="A13:A14"/>
    <mergeCell ref="B13:B14"/>
    <mergeCell ref="C13:C14"/>
    <mergeCell ref="D13:D14"/>
    <mergeCell ref="E13:E14"/>
    <mergeCell ref="F13:F14"/>
    <mergeCell ref="G13:G14"/>
    <mergeCell ref="AA13:AA14"/>
    <mergeCell ref="AA10:AA11"/>
    <mergeCell ref="F10:F11"/>
    <mergeCell ref="AA6:AA9"/>
    <mergeCell ref="B7:D7"/>
    <mergeCell ref="A1:AA1"/>
    <mergeCell ref="F2:G2"/>
    <mergeCell ref="W2:AA2"/>
    <mergeCell ref="A4:AA4"/>
    <mergeCell ref="A5:AA5"/>
    <mergeCell ref="E7:H7"/>
    <mergeCell ref="I7:Z7"/>
    <mergeCell ref="B8:Z8"/>
    <mergeCell ref="A6:A9"/>
    <mergeCell ref="B6:H6"/>
    <mergeCell ref="I6:Z6"/>
    <mergeCell ref="G10:G11"/>
  </mergeCells>
  <conditionalFormatting sqref="I21:Z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390" priority="15" operator="greaterThan">
      <formula>95%</formula>
    </cfRule>
    <cfRule type="cellIs" dxfId="389" priority="16" operator="greaterThanOrEqual">
      <formula>90%</formula>
    </cfRule>
    <cfRule type="cellIs" dxfId="388" priority="17" operator="lessThan">
      <formula>89.99%</formula>
    </cfRule>
  </conditionalFormatting>
  <conditionalFormatting sqref="AA13">
    <cfRule type="cellIs" dxfId="387" priority="12" operator="greaterThan">
      <formula>95%</formula>
    </cfRule>
    <cfRule type="cellIs" dxfId="386" priority="13" operator="greaterThanOrEqual">
      <formula>90%</formula>
    </cfRule>
    <cfRule type="cellIs" dxfId="385" priority="14" operator="lessThan">
      <formula>89.99%</formula>
    </cfRule>
  </conditionalFormatting>
  <conditionalFormatting sqref="AA16">
    <cfRule type="cellIs" dxfId="384" priority="9" operator="greaterThan">
      <formula>95%</formula>
    </cfRule>
    <cfRule type="cellIs" dxfId="383" priority="10" operator="greaterThanOrEqual">
      <formula>90%</formula>
    </cfRule>
    <cfRule type="cellIs" dxfId="382" priority="11" operator="lessThan">
      <formula>89.99%</formula>
    </cfRule>
  </conditionalFormatting>
  <conditionalFormatting sqref="AA19">
    <cfRule type="cellIs" dxfId="381" priority="6" operator="greaterThan">
      <formula>95%</formula>
    </cfRule>
    <cfRule type="cellIs" dxfId="380" priority="7" operator="greaterThanOrEqual">
      <formula>90%</formula>
    </cfRule>
    <cfRule type="cellIs" dxfId="379" priority="8" operator="lessThan">
      <formula>89.99%</formula>
    </cfRule>
  </conditionalFormatting>
  <conditionalFormatting sqref="AA22">
    <cfRule type="cellIs" dxfId="378" priority="1" operator="greaterThanOrEqual">
      <formula>100%</formula>
    </cfRule>
    <cfRule type="cellIs" dxfId="377" priority="2" operator="lessThan">
      <formula>99.99%</formula>
    </cfRule>
  </conditionalFormatting>
  <conditionalFormatting sqref="AA25">
    <cfRule type="cellIs" dxfId="376" priority="3" operator="greaterThan">
      <formula>95%</formula>
    </cfRule>
    <cfRule type="cellIs" dxfId="375" priority="4" operator="greaterThanOrEqual">
      <formula>90%</formula>
    </cfRule>
    <cfRule type="cellIs" dxfId="374" priority="5" operator="lessThan">
      <formula>89.99%</formula>
    </cfRule>
  </conditionalFormatting>
  <dataValidations count="1">
    <dataValidation showDropDown="1" showInputMessage="1" showErrorMessage="1" sqref="C21 G19:G23 G10:G11 G16:G17 G13:G14 G25:G26" xr:uid="{93727DD5-150F-4C32-B13D-22A2476DDCE5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0000"/>
  </sheetPr>
  <dimension ref="A1:AM38"/>
  <sheetViews>
    <sheetView showGridLines="0" topLeftCell="A8" zoomScale="73" zoomScaleNormal="73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5</v>
      </c>
      <c r="F2" s="129" t="s">
        <v>25</v>
      </c>
      <c r="G2" s="129"/>
      <c r="H2" s="22">
        <v>160552</v>
      </c>
      <c r="I2" s="21"/>
      <c r="J2" s="21"/>
      <c r="K2" s="21"/>
      <c r="L2" s="21"/>
      <c r="M2" s="21"/>
      <c r="N2" s="21"/>
      <c r="O2" s="21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29</v>
      </c>
      <c r="J10" s="24">
        <v>170</v>
      </c>
      <c r="K10" s="24">
        <v>131</v>
      </c>
      <c r="L10" s="24">
        <v>235</v>
      </c>
      <c r="M10" s="24">
        <v>145</v>
      </c>
      <c r="N10" s="24">
        <v>162</v>
      </c>
      <c r="O10" s="24">
        <v>103</v>
      </c>
      <c r="P10" s="24">
        <v>131</v>
      </c>
      <c r="Q10" s="24">
        <v>163</v>
      </c>
      <c r="R10" s="24">
        <v>108</v>
      </c>
      <c r="S10" s="24">
        <v>175</v>
      </c>
      <c r="T10" s="24">
        <v>159</v>
      </c>
      <c r="U10" s="24">
        <v>174</v>
      </c>
      <c r="V10" s="24">
        <v>250</v>
      </c>
      <c r="W10" s="24">
        <v>199</v>
      </c>
      <c r="X10" s="24">
        <v>186</v>
      </c>
      <c r="Y10" s="24">
        <v>184</v>
      </c>
      <c r="Z10" s="24">
        <v>160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29</v>
      </c>
      <c r="J11" s="44">
        <v>170</v>
      </c>
      <c r="K11" s="44">
        <v>131</v>
      </c>
      <c r="L11" s="44">
        <v>235</v>
      </c>
      <c r="M11" s="44">
        <v>145</v>
      </c>
      <c r="N11" s="44">
        <v>162</v>
      </c>
      <c r="O11" s="44">
        <v>103</v>
      </c>
      <c r="P11" s="44">
        <v>131</v>
      </c>
      <c r="Q11" s="44">
        <v>163</v>
      </c>
      <c r="R11" s="44">
        <v>108</v>
      </c>
      <c r="S11" s="44">
        <v>175</v>
      </c>
      <c r="T11" s="44">
        <v>159</v>
      </c>
      <c r="U11" s="44">
        <v>174</v>
      </c>
      <c r="V11" s="44">
        <v>250</v>
      </c>
      <c r="W11" s="44">
        <v>199</v>
      </c>
      <c r="X11" s="44">
        <v>186</v>
      </c>
      <c r="Y11" s="44">
        <v>184</v>
      </c>
      <c r="Z11" s="44">
        <v>160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29</v>
      </c>
      <c r="J13" s="24">
        <v>169</v>
      </c>
      <c r="K13" s="24">
        <v>131</v>
      </c>
      <c r="L13" s="24">
        <v>231</v>
      </c>
      <c r="M13" s="24">
        <v>144</v>
      </c>
      <c r="N13" s="24">
        <v>160</v>
      </c>
      <c r="O13" s="24">
        <v>102</v>
      </c>
      <c r="P13" s="24">
        <v>130</v>
      </c>
      <c r="Q13" s="24">
        <v>163</v>
      </c>
      <c r="R13" s="24">
        <v>108</v>
      </c>
      <c r="S13" s="24">
        <v>175</v>
      </c>
      <c r="T13" s="24">
        <v>158</v>
      </c>
      <c r="U13" s="24">
        <v>173</v>
      </c>
      <c r="V13" s="24">
        <v>247</v>
      </c>
      <c r="W13" s="24">
        <v>199</v>
      </c>
      <c r="X13" s="24">
        <v>186</v>
      </c>
      <c r="Y13" s="24">
        <v>184</v>
      </c>
      <c r="Z13" s="24">
        <v>160</v>
      </c>
      <c r="AA13" s="119">
        <f>IFERROR(SUM(I13:Z13)/SUM(I14:Z14),0)</f>
        <v>0.99476256983240219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29</v>
      </c>
      <c r="J14" s="44">
        <v>170</v>
      </c>
      <c r="K14" s="44">
        <v>131</v>
      </c>
      <c r="L14" s="44">
        <v>235</v>
      </c>
      <c r="M14" s="44">
        <v>145</v>
      </c>
      <c r="N14" s="44">
        <v>162</v>
      </c>
      <c r="O14" s="44">
        <v>103</v>
      </c>
      <c r="P14" s="44">
        <v>131</v>
      </c>
      <c r="Q14" s="44">
        <v>163</v>
      </c>
      <c r="R14" s="44">
        <v>108</v>
      </c>
      <c r="S14" s="44">
        <v>175</v>
      </c>
      <c r="T14" s="44">
        <v>159</v>
      </c>
      <c r="U14" s="44">
        <v>174</v>
      </c>
      <c r="V14" s="44">
        <v>250</v>
      </c>
      <c r="W14" s="44">
        <v>199</v>
      </c>
      <c r="X14" s="44">
        <v>186</v>
      </c>
      <c r="Y14" s="44">
        <v>184</v>
      </c>
      <c r="Z14" s="44">
        <v>160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29</v>
      </c>
      <c r="J16" s="24">
        <v>170</v>
      </c>
      <c r="K16" s="24">
        <v>131</v>
      </c>
      <c r="L16" s="24">
        <v>235</v>
      </c>
      <c r="M16" s="24">
        <v>145</v>
      </c>
      <c r="N16" s="24">
        <v>162</v>
      </c>
      <c r="O16" s="24">
        <v>103</v>
      </c>
      <c r="P16" s="24">
        <v>131</v>
      </c>
      <c r="Q16" s="24">
        <v>163</v>
      </c>
      <c r="R16" s="24">
        <v>108</v>
      </c>
      <c r="S16" s="24">
        <v>175</v>
      </c>
      <c r="T16" s="24">
        <v>159</v>
      </c>
      <c r="U16" s="24">
        <v>174</v>
      </c>
      <c r="V16" s="24">
        <v>250</v>
      </c>
      <c r="W16" s="24">
        <v>199</v>
      </c>
      <c r="X16" s="24">
        <v>186</v>
      </c>
      <c r="Y16" s="24">
        <v>184</v>
      </c>
      <c r="Z16" s="24">
        <v>160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29</v>
      </c>
      <c r="J17" s="44">
        <v>170</v>
      </c>
      <c r="K17" s="44">
        <v>131</v>
      </c>
      <c r="L17" s="44">
        <v>235</v>
      </c>
      <c r="M17" s="44">
        <v>145</v>
      </c>
      <c r="N17" s="44">
        <v>162</v>
      </c>
      <c r="O17" s="44">
        <v>103</v>
      </c>
      <c r="P17" s="44">
        <v>131</v>
      </c>
      <c r="Q17" s="44">
        <v>163</v>
      </c>
      <c r="R17" s="44">
        <v>108</v>
      </c>
      <c r="S17" s="44">
        <v>175</v>
      </c>
      <c r="T17" s="44">
        <v>159</v>
      </c>
      <c r="U17" s="44">
        <v>174</v>
      </c>
      <c r="V17" s="44">
        <v>250</v>
      </c>
      <c r="W17" s="44">
        <v>199</v>
      </c>
      <c r="X17" s="44">
        <v>186</v>
      </c>
      <c r="Y17" s="44">
        <v>184</v>
      </c>
      <c r="Z17" s="44">
        <v>160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170</v>
      </c>
      <c r="J19" s="24">
        <v>164</v>
      </c>
      <c r="K19" s="24">
        <v>123</v>
      </c>
      <c r="L19" s="24">
        <v>215</v>
      </c>
      <c r="M19" s="24">
        <v>197</v>
      </c>
      <c r="N19" s="24">
        <v>147</v>
      </c>
      <c r="O19" s="24">
        <v>136</v>
      </c>
      <c r="P19" s="24">
        <v>136</v>
      </c>
      <c r="Q19" s="24">
        <v>114</v>
      </c>
      <c r="R19" s="24">
        <v>68</v>
      </c>
      <c r="S19" s="24">
        <v>180</v>
      </c>
      <c r="T19" s="24">
        <v>178</v>
      </c>
      <c r="U19" s="24">
        <v>162</v>
      </c>
      <c r="V19" s="24">
        <v>207</v>
      </c>
      <c r="W19" s="24">
        <v>164</v>
      </c>
      <c r="X19" s="24">
        <v>284</v>
      </c>
      <c r="Y19" s="24">
        <v>141</v>
      </c>
      <c r="Z19" s="24">
        <v>87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170</v>
      </c>
      <c r="J20" s="44">
        <v>164</v>
      </c>
      <c r="K20" s="44">
        <v>123</v>
      </c>
      <c r="L20" s="44">
        <v>215</v>
      </c>
      <c r="M20" s="44">
        <v>197</v>
      </c>
      <c r="N20" s="44">
        <v>147</v>
      </c>
      <c r="O20" s="44">
        <v>136</v>
      </c>
      <c r="P20" s="44">
        <v>136</v>
      </c>
      <c r="Q20" s="44">
        <v>114</v>
      </c>
      <c r="R20" s="44">
        <v>68</v>
      </c>
      <c r="S20" s="44">
        <v>180</v>
      </c>
      <c r="T20" s="44">
        <v>178</v>
      </c>
      <c r="U20" s="44">
        <v>162</v>
      </c>
      <c r="V20" s="44">
        <v>207</v>
      </c>
      <c r="W20" s="44">
        <v>164</v>
      </c>
      <c r="X20" s="44">
        <v>284</v>
      </c>
      <c r="Y20" s="44">
        <v>141</v>
      </c>
      <c r="Z20" s="44">
        <v>87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722</v>
      </c>
      <c r="J22" s="24">
        <v>858</v>
      </c>
      <c r="K22" s="24">
        <v>874</v>
      </c>
      <c r="L22" s="24">
        <v>939</v>
      </c>
      <c r="M22" s="24">
        <v>658</v>
      </c>
      <c r="N22" s="24">
        <v>607</v>
      </c>
      <c r="O22" s="24">
        <v>580</v>
      </c>
      <c r="P22" s="24">
        <v>587</v>
      </c>
      <c r="Q22" s="24">
        <v>583</v>
      </c>
      <c r="R22" s="24">
        <v>448</v>
      </c>
      <c r="S22" s="24">
        <v>433</v>
      </c>
      <c r="T22" s="24">
        <v>567</v>
      </c>
      <c r="U22" s="24">
        <v>569</v>
      </c>
      <c r="V22" s="24">
        <v>661</v>
      </c>
      <c r="W22" s="24">
        <v>589</v>
      </c>
      <c r="X22" s="24">
        <v>614</v>
      </c>
      <c r="Y22" s="24">
        <v>574</v>
      </c>
      <c r="Z22" s="24">
        <v>512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722</v>
      </c>
      <c r="J23" s="44">
        <v>858</v>
      </c>
      <c r="K23" s="44">
        <v>874</v>
      </c>
      <c r="L23" s="44">
        <v>939</v>
      </c>
      <c r="M23" s="44">
        <v>658</v>
      </c>
      <c r="N23" s="44">
        <v>607</v>
      </c>
      <c r="O23" s="44">
        <v>580</v>
      </c>
      <c r="P23" s="44">
        <v>587</v>
      </c>
      <c r="Q23" s="44">
        <v>583</v>
      </c>
      <c r="R23" s="44">
        <v>448</v>
      </c>
      <c r="S23" s="44">
        <v>433</v>
      </c>
      <c r="T23" s="44">
        <v>567</v>
      </c>
      <c r="U23" s="44">
        <v>569</v>
      </c>
      <c r="V23" s="44">
        <v>661</v>
      </c>
      <c r="W23" s="44">
        <v>589</v>
      </c>
      <c r="X23" s="44">
        <v>614</v>
      </c>
      <c r="Y23" s="44">
        <v>574</v>
      </c>
      <c r="Z23" s="44">
        <v>512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128</v>
      </c>
      <c r="J25" s="24">
        <v>28</v>
      </c>
      <c r="K25" s="24">
        <v>102</v>
      </c>
      <c r="L25" s="24">
        <v>150</v>
      </c>
      <c r="M25" s="24">
        <v>276</v>
      </c>
      <c r="N25" s="24">
        <v>196</v>
      </c>
      <c r="O25" s="24">
        <v>163</v>
      </c>
      <c r="P25" s="24">
        <v>129</v>
      </c>
      <c r="Q25" s="24">
        <v>118</v>
      </c>
      <c r="R25" s="24">
        <v>203</v>
      </c>
      <c r="S25" s="24">
        <v>194</v>
      </c>
      <c r="T25" s="24">
        <v>44</v>
      </c>
      <c r="U25" s="24">
        <v>160</v>
      </c>
      <c r="V25" s="24">
        <v>115</v>
      </c>
      <c r="W25" s="24">
        <v>231</v>
      </c>
      <c r="X25" s="24">
        <v>259</v>
      </c>
      <c r="Y25" s="24">
        <v>181</v>
      </c>
      <c r="Z25" s="24">
        <v>149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128</v>
      </c>
      <c r="J26" s="44">
        <v>28</v>
      </c>
      <c r="K26" s="44">
        <v>102</v>
      </c>
      <c r="L26" s="44">
        <v>150</v>
      </c>
      <c r="M26" s="44">
        <v>276</v>
      </c>
      <c r="N26" s="44">
        <v>196</v>
      </c>
      <c r="O26" s="44">
        <v>163</v>
      </c>
      <c r="P26" s="44">
        <v>129</v>
      </c>
      <c r="Q26" s="44">
        <v>118</v>
      </c>
      <c r="R26" s="44">
        <v>203</v>
      </c>
      <c r="S26" s="44">
        <v>194</v>
      </c>
      <c r="T26" s="44">
        <v>44</v>
      </c>
      <c r="U26" s="44">
        <v>160</v>
      </c>
      <c r="V26" s="44">
        <v>115</v>
      </c>
      <c r="W26" s="44">
        <v>231</v>
      </c>
      <c r="X26" s="44">
        <v>259</v>
      </c>
      <c r="Y26" s="44">
        <v>181</v>
      </c>
      <c r="Z26" s="44">
        <v>149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G25:G26"/>
    <mergeCell ref="AA25:AA26"/>
    <mergeCell ref="A24:AA24"/>
    <mergeCell ref="A25:A26"/>
    <mergeCell ref="B25:B26"/>
    <mergeCell ref="C25:C26"/>
    <mergeCell ref="D25:D26"/>
    <mergeCell ref="E25:E26"/>
    <mergeCell ref="F25:F26"/>
    <mergeCell ref="E22:E23"/>
    <mergeCell ref="F19:F20"/>
    <mergeCell ref="G19:G20"/>
    <mergeCell ref="AA19:AA20"/>
    <mergeCell ref="A19:A20"/>
    <mergeCell ref="B19:B20"/>
    <mergeCell ref="C19:C20"/>
    <mergeCell ref="D19:D20"/>
    <mergeCell ref="E19:E20"/>
    <mergeCell ref="F22:F23"/>
    <mergeCell ref="G22:G23"/>
    <mergeCell ref="AA22:AA23"/>
    <mergeCell ref="A22:A23"/>
    <mergeCell ref="B22:B23"/>
    <mergeCell ref="C22:C23"/>
    <mergeCell ref="D22:D23"/>
    <mergeCell ref="F16:F17"/>
    <mergeCell ref="G16:G17"/>
    <mergeCell ref="AA16:AA17"/>
    <mergeCell ref="A18:AA18"/>
    <mergeCell ref="A16:A17"/>
    <mergeCell ref="B16:B17"/>
    <mergeCell ref="C16:C17"/>
    <mergeCell ref="D16:D17"/>
    <mergeCell ref="E16:E17"/>
    <mergeCell ref="F13:F14"/>
    <mergeCell ref="G13:G14"/>
    <mergeCell ref="AA13:AA14"/>
    <mergeCell ref="A15:AA15"/>
    <mergeCell ref="A13:A14"/>
    <mergeCell ref="B13:B14"/>
    <mergeCell ref="C13:C14"/>
    <mergeCell ref="D13:D14"/>
    <mergeCell ref="E13:E14"/>
    <mergeCell ref="A12:AA12"/>
    <mergeCell ref="A10:A11"/>
    <mergeCell ref="B10:B11"/>
    <mergeCell ref="C10:C11"/>
    <mergeCell ref="D10:D11"/>
    <mergeCell ref="E10:E11"/>
    <mergeCell ref="A1:AA1"/>
    <mergeCell ref="F2:G2"/>
    <mergeCell ref="A4:AA4"/>
    <mergeCell ref="A5:AA5"/>
    <mergeCell ref="F10:F11"/>
    <mergeCell ref="G10:G11"/>
    <mergeCell ref="AA10:AA11"/>
    <mergeCell ref="A6:A9"/>
    <mergeCell ref="B6:H6"/>
    <mergeCell ref="I6:Z6"/>
    <mergeCell ref="AA6:AA9"/>
    <mergeCell ref="B7:D7"/>
    <mergeCell ref="E7:H7"/>
    <mergeCell ref="I7:Z7"/>
    <mergeCell ref="B8:Z8"/>
    <mergeCell ref="W2:AA2"/>
    <mergeCell ref="I29:L29"/>
    <mergeCell ref="B34:M34"/>
    <mergeCell ref="B35:G35"/>
    <mergeCell ref="H35:M35"/>
    <mergeCell ref="B36:G37"/>
    <mergeCell ref="H36:M37"/>
  </mergeCells>
  <conditionalFormatting sqref="I21:Z21">
    <cfRule type="colorScale" priority="42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373" priority="21" operator="greaterThan">
      <formula>95%</formula>
    </cfRule>
    <cfRule type="cellIs" dxfId="372" priority="22" operator="greaterThanOrEqual">
      <formula>90%</formula>
    </cfRule>
    <cfRule type="cellIs" dxfId="371" priority="23" operator="lessThan">
      <formula>89.99%</formula>
    </cfRule>
  </conditionalFormatting>
  <conditionalFormatting sqref="AA13">
    <cfRule type="cellIs" dxfId="370" priority="18" operator="greaterThan">
      <formula>95%</formula>
    </cfRule>
    <cfRule type="cellIs" dxfId="369" priority="19" operator="greaterThanOrEqual">
      <formula>90%</formula>
    </cfRule>
    <cfRule type="cellIs" dxfId="368" priority="20" operator="lessThan">
      <formula>89.99%</formula>
    </cfRule>
  </conditionalFormatting>
  <conditionalFormatting sqref="AA16">
    <cfRule type="cellIs" dxfId="367" priority="15" operator="greaterThan">
      <formula>95%</formula>
    </cfRule>
    <cfRule type="cellIs" dxfId="366" priority="16" operator="greaterThanOrEqual">
      <formula>90%</formula>
    </cfRule>
    <cfRule type="cellIs" dxfId="365" priority="17" operator="lessThan">
      <formula>89.99%</formula>
    </cfRule>
  </conditionalFormatting>
  <conditionalFormatting sqref="AA19">
    <cfRule type="cellIs" dxfId="364" priority="12" operator="greaterThan">
      <formula>95%</formula>
    </cfRule>
    <cfRule type="cellIs" dxfId="363" priority="13" operator="greaterThanOrEqual">
      <formula>90%</formula>
    </cfRule>
    <cfRule type="cellIs" dxfId="362" priority="14" operator="lessThan">
      <formula>89.99%</formula>
    </cfRule>
  </conditionalFormatting>
  <conditionalFormatting sqref="AA22">
    <cfRule type="cellIs" dxfId="361" priority="1" operator="greaterThanOrEqual">
      <formula>100%</formula>
    </cfRule>
    <cfRule type="cellIs" dxfId="360" priority="2" operator="lessThan">
      <formula>99.99%</formula>
    </cfRule>
  </conditionalFormatting>
  <conditionalFormatting sqref="AA25">
    <cfRule type="cellIs" dxfId="359" priority="3" operator="greaterThan">
      <formula>95%</formula>
    </cfRule>
    <cfRule type="cellIs" dxfId="358" priority="4" operator="greaterThanOrEqual">
      <formula>90%</formula>
    </cfRule>
    <cfRule type="cellIs" dxfId="357" priority="5" operator="lessThan">
      <formula>89.99%</formula>
    </cfRule>
  </conditionalFormatting>
  <dataValidations count="1">
    <dataValidation showDropDown="1" showInputMessage="1" showErrorMessage="1" sqref="C21 G19:G23 G10:G11 G16:G17 G13:G14 G25:G26" xr:uid="{4E7C41E2-2E1D-4527-89F3-2264837C77F0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553F2-5F2F-4373-B391-20944A09A6F7}">
  <sheetPr>
    <tabColor rgb="FFFF0000"/>
  </sheetPr>
  <dimension ref="A1:AM38"/>
  <sheetViews>
    <sheetView showGridLines="0" zoomScale="55" zoomScaleNormal="55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5</v>
      </c>
      <c r="F2" s="129" t="s">
        <v>25</v>
      </c>
      <c r="G2" s="129"/>
      <c r="H2" s="22">
        <v>160554</v>
      </c>
      <c r="I2" s="21"/>
      <c r="J2" s="21"/>
      <c r="K2" s="21"/>
      <c r="L2" s="21"/>
      <c r="M2" s="21"/>
      <c r="N2" s="21"/>
      <c r="O2" s="21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12</v>
      </c>
      <c r="J10" s="24">
        <v>55</v>
      </c>
      <c r="K10" s="24">
        <v>84</v>
      </c>
      <c r="L10" s="24">
        <v>150</v>
      </c>
      <c r="M10" s="24">
        <v>148</v>
      </c>
      <c r="N10" s="24">
        <v>93</v>
      </c>
      <c r="O10" s="24">
        <v>106</v>
      </c>
      <c r="P10" s="24">
        <v>137</v>
      </c>
      <c r="Q10" s="24">
        <v>168</v>
      </c>
      <c r="R10" s="24">
        <v>65</v>
      </c>
      <c r="S10" s="24">
        <v>117</v>
      </c>
      <c r="T10" s="24">
        <v>155</v>
      </c>
      <c r="U10" s="24">
        <v>142</v>
      </c>
      <c r="V10" s="24">
        <v>147</v>
      </c>
      <c r="W10" s="24">
        <v>159</v>
      </c>
      <c r="X10" s="24">
        <v>167</v>
      </c>
      <c r="Y10" s="24">
        <v>201</v>
      </c>
      <c r="Z10" s="24">
        <v>166</v>
      </c>
      <c r="AA10" s="119">
        <f>IFERROR(SUM(I10:Z10)/SUM(I11:Z11),0)</f>
        <v>0.99912049252418644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12</v>
      </c>
      <c r="J11" s="44">
        <v>55</v>
      </c>
      <c r="K11" s="44">
        <v>84</v>
      </c>
      <c r="L11" s="44">
        <v>151</v>
      </c>
      <c r="M11" s="44">
        <v>149</v>
      </c>
      <c r="N11" s="44">
        <v>93</v>
      </c>
      <c r="O11" s="44">
        <v>106</v>
      </c>
      <c r="P11" s="44">
        <v>137</v>
      </c>
      <c r="Q11" s="44">
        <v>168</v>
      </c>
      <c r="R11" s="44">
        <v>65</v>
      </c>
      <c r="S11" s="44">
        <v>117</v>
      </c>
      <c r="T11" s="44">
        <v>155</v>
      </c>
      <c r="U11" s="44">
        <v>142</v>
      </c>
      <c r="V11" s="44">
        <v>147</v>
      </c>
      <c r="W11" s="44">
        <v>159</v>
      </c>
      <c r="X11" s="44">
        <v>167</v>
      </c>
      <c r="Y11" s="44">
        <v>201</v>
      </c>
      <c r="Z11" s="44">
        <v>166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12</v>
      </c>
      <c r="J13" s="24">
        <v>54</v>
      </c>
      <c r="K13" s="24">
        <v>81</v>
      </c>
      <c r="L13" s="24">
        <v>147</v>
      </c>
      <c r="M13" s="24">
        <v>146</v>
      </c>
      <c r="N13" s="24">
        <v>93</v>
      </c>
      <c r="O13" s="24">
        <v>103</v>
      </c>
      <c r="P13" s="24">
        <v>134</v>
      </c>
      <c r="Q13" s="24">
        <v>167</v>
      </c>
      <c r="R13" s="24">
        <v>64</v>
      </c>
      <c r="S13" s="24">
        <v>115</v>
      </c>
      <c r="T13" s="24">
        <v>154</v>
      </c>
      <c r="U13" s="24">
        <v>141</v>
      </c>
      <c r="V13" s="24">
        <v>143</v>
      </c>
      <c r="W13" s="24">
        <v>156</v>
      </c>
      <c r="X13" s="24">
        <v>164</v>
      </c>
      <c r="Y13" s="24">
        <v>196</v>
      </c>
      <c r="Z13" s="24">
        <v>161</v>
      </c>
      <c r="AA13" s="119">
        <f>IFERROR(SUM(I13:Z13)/SUM(I14:Z14),0)</f>
        <v>0.98238661382650816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12</v>
      </c>
      <c r="J14" s="44">
        <v>56</v>
      </c>
      <c r="K14" s="44">
        <v>85</v>
      </c>
      <c r="L14" s="44">
        <v>150</v>
      </c>
      <c r="M14" s="44">
        <v>148</v>
      </c>
      <c r="N14" s="44">
        <v>93</v>
      </c>
      <c r="O14" s="44">
        <v>106</v>
      </c>
      <c r="P14" s="44">
        <v>134</v>
      </c>
      <c r="Q14" s="44">
        <v>168</v>
      </c>
      <c r="R14" s="44">
        <v>65</v>
      </c>
      <c r="S14" s="44">
        <v>117</v>
      </c>
      <c r="T14" s="44">
        <v>155</v>
      </c>
      <c r="U14" s="44">
        <v>142</v>
      </c>
      <c r="V14" s="44">
        <v>147</v>
      </c>
      <c r="W14" s="44">
        <v>159</v>
      </c>
      <c r="X14" s="44">
        <v>167</v>
      </c>
      <c r="Y14" s="44">
        <v>201</v>
      </c>
      <c r="Z14" s="44">
        <v>166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12</v>
      </c>
      <c r="J16" s="24">
        <v>55</v>
      </c>
      <c r="K16" s="24">
        <v>84</v>
      </c>
      <c r="L16" s="24">
        <v>149</v>
      </c>
      <c r="M16" s="24">
        <v>148</v>
      </c>
      <c r="N16" s="24">
        <v>92</v>
      </c>
      <c r="O16" s="24">
        <v>106</v>
      </c>
      <c r="P16" s="24">
        <v>137</v>
      </c>
      <c r="Q16" s="24">
        <v>167</v>
      </c>
      <c r="R16" s="24">
        <v>64</v>
      </c>
      <c r="S16" s="24">
        <v>115</v>
      </c>
      <c r="T16" s="24">
        <v>154</v>
      </c>
      <c r="U16" s="24">
        <v>141</v>
      </c>
      <c r="V16" s="24">
        <v>143</v>
      </c>
      <c r="W16" s="24">
        <v>156</v>
      </c>
      <c r="X16" s="24">
        <v>164</v>
      </c>
      <c r="Y16" s="24">
        <v>196</v>
      </c>
      <c r="Z16" s="24">
        <v>161</v>
      </c>
      <c r="AA16" s="119">
        <f>IFERROR(SUM(I16:Z16)/SUM(I17:Z17),0)</f>
        <v>0.98854625550660791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12</v>
      </c>
      <c r="J17" s="44">
        <v>55</v>
      </c>
      <c r="K17" s="44">
        <v>84</v>
      </c>
      <c r="L17" s="44">
        <v>149</v>
      </c>
      <c r="M17" s="44">
        <v>148</v>
      </c>
      <c r="N17" s="44">
        <v>93</v>
      </c>
      <c r="O17" s="44">
        <v>106</v>
      </c>
      <c r="P17" s="44">
        <v>137</v>
      </c>
      <c r="Q17" s="44">
        <v>167</v>
      </c>
      <c r="R17" s="44">
        <v>65</v>
      </c>
      <c r="S17" s="44">
        <v>117</v>
      </c>
      <c r="T17" s="44">
        <v>155</v>
      </c>
      <c r="U17" s="44">
        <v>142</v>
      </c>
      <c r="V17" s="44">
        <v>147</v>
      </c>
      <c r="W17" s="44">
        <v>159</v>
      </c>
      <c r="X17" s="44">
        <v>167</v>
      </c>
      <c r="Y17" s="44">
        <v>201</v>
      </c>
      <c r="Z17" s="44">
        <v>166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0</v>
      </c>
      <c r="J19" s="24">
        <v>166</v>
      </c>
      <c r="K19" s="24">
        <v>0</v>
      </c>
      <c r="L19" s="24">
        <v>104</v>
      </c>
      <c r="M19" s="24">
        <v>245</v>
      </c>
      <c r="N19" s="24">
        <v>66</v>
      </c>
      <c r="O19" s="24">
        <v>0</v>
      </c>
      <c r="P19" s="24">
        <v>150</v>
      </c>
      <c r="Q19" s="24">
        <v>229</v>
      </c>
      <c r="R19" s="24">
        <v>91</v>
      </c>
      <c r="S19" s="24">
        <v>129</v>
      </c>
      <c r="T19" s="24">
        <v>93</v>
      </c>
      <c r="U19" s="24">
        <v>102</v>
      </c>
      <c r="V19" s="24">
        <v>169</v>
      </c>
      <c r="W19" s="24">
        <v>180</v>
      </c>
      <c r="X19" s="24">
        <v>159</v>
      </c>
      <c r="Y19" s="24">
        <v>0</v>
      </c>
      <c r="Z19" s="24">
        <v>234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0</v>
      </c>
      <c r="J20" s="44">
        <v>166</v>
      </c>
      <c r="K20" s="44">
        <v>0</v>
      </c>
      <c r="L20" s="44">
        <v>104</v>
      </c>
      <c r="M20" s="44">
        <v>245</v>
      </c>
      <c r="N20" s="44">
        <v>66</v>
      </c>
      <c r="O20" s="44">
        <v>0</v>
      </c>
      <c r="P20" s="44">
        <v>150</v>
      </c>
      <c r="Q20" s="44">
        <v>229</v>
      </c>
      <c r="R20" s="44">
        <v>91</v>
      </c>
      <c r="S20" s="44">
        <v>129</v>
      </c>
      <c r="T20" s="44">
        <v>93</v>
      </c>
      <c r="U20" s="44">
        <v>102</v>
      </c>
      <c r="V20" s="44">
        <v>169</v>
      </c>
      <c r="W20" s="44">
        <v>180</v>
      </c>
      <c r="X20" s="44">
        <v>159</v>
      </c>
      <c r="Y20" s="44">
        <v>0</v>
      </c>
      <c r="Z20" s="44">
        <v>234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225</v>
      </c>
      <c r="J22" s="24">
        <v>391</v>
      </c>
      <c r="K22" s="24">
        <v>386</v>
      </c>
      <c r="L22" s="24">
        <v>476</v>
      </c>
      <c r="M22" s="24">
        <v>1343</v>
      </c>
      <c r="N22" s="24">
        <v>930</v>
      </c>
      <c r="O22" s="24">
        <v>784</v>
      </c>
      <c r="P22" s="24">
        <v>655</v>
      </c>
      <c r="Q22" s="24">
        <v>711</v>
      </c>
      <c r="R22" s="24">
        <v>723</v>
      </c>
      <c r="S22" s="24">
        <v>707</v>
      </c>
      <c r="T22" s="24">
        <v>630</v>
      </c>
      <c r="U22" s="24">
        <v>589</v>
      </c>
      <c r="V22" s="24">
        <v>696</v>
      </c>
      <c r="W22" s="24">
        <v>735</v>
      </c>
      <c r="X22" s="24">
        <v>773</v>
      </c>
      <c r="Y22" s="24">
        <v>624</v>
      </c>
      <c r="Z22" s="24">
        <v>620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225</v>
      </c>
      <c r="J23" s="44">
        <v>391</v>
      </c>
      <c r="K23" s="44">
        <v>386</v>
      </c>
      <c r="L23" s="44">
        <v>476</v>
      </c>
      <c r="M23" s="44">
        <v>1343</v>
      </c>
      <c r="N23" s="44">
        <v>930</v>
      </c>
      <c r="O23" s="44">
        <v>784</v>
      </c>
      <c r="P23" s="44">
        <v>655</v>
      </c>
      <c r="Q23" s="44">
        <v>711</v>
      </c>
      <c r="R23" s="44">
        <v>723</v>
      </c>
      <c r="S23" s="44">
        <v>707</v>
      </c>
      <c r="T23" s="44">
        <v>630</v>
      </c>
      <c r="U23" s="44">
        <v>589</v>
      </c>
      <c r="V23" s="44">
        <v>696</v>
      </c>
      <c r="W23" s="44">
        <v>735</v>
      </c>
      <c r="X23" s="44">
        <v>773</v>
      </c>
      <c r="Y23" s="44">
        <v>624</v>
      </c>
      <c r="Z23" s="44">
        <v>620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0</v>
      </c>
      <c r="J25" s="24">
        <v>0</v>
      </c>
      <c r="K25" s="24">
        <v>2</v>
      </c>
      <c r="L25" s="24">
        <v>14</v>
      </c>
      <c r="M25" s="24">
        <v>61</v>
      </c>
      <c r="N25" s="24">
        <v>118</v>
      </c>
      <c r="O25" s="24">
        <v>146</v>
      </c>
      <c r="P25" s="24">
        <v>279</v>
      </c>
      <c r="Q25" s="24">
        <v>173</v>
      </c>
      <c r="R25" s="24">
        <v>79</v>
      </c>
      <c r="S25" s="24">
        <v>145</v>
      </c>
      <c r="T25" s="24">
        <v>168</v>
      </c>
      <c r="U25" s="24">
        <v>143</v>
      </c>
      <c r="V25" s="24">
        <v>62</v>
      </c>
      <c r="W25" s="24">
        <v>139</v>
      </c>
      <c r="X25" s="24">
        <v>121</v>
      </c>
      <c r="Y25" s="24">
        <v>149</v>
      </c>
      <c r="Z25" s="24">
        <v>238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0</v>
      </c>
      <c r="J26" s="44">
        <v>0</v>
      </c>
      <c r="K26" s="44">
        <v>2</v>
      </c>
      <c r="L26" s="44">
        <v>14</v>
      </c>
      <c r="M26" s="44">
        <v>61</v>
      </c>
      <c r="N26" s="44">
        <v>118</v>
      </c>
      <c r="O26" s="44">
        <v>146</v>
      </c>
      <c r="P26" s="44">
        <v>279</v>
      </c>
      <c r="Q26" s="44">
        <v>173</v>
      </c>
      <c r="R26" s="44">
        <v>79</v>
      </c>
      <c r="S26" s="44">
        <v>145</v>
      </c>
      <c r="T26" s="44">
        <v>168</v>
      </c>
      <c r="U26" s="44">
        <v>143</v>
      </c>
      <c r="V26" s="44">
        <v>62</v>
      </c>
      <c r="W26" s="44">
        <v>139</v>
      </c>
      <c r="X26" s="44">
        <v>121</v>
      </c>
      <c r="Y26" s="44">
        <v>149</v>
      </c>
      <c r="Z26" s="44">
        <v>238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AA25:AA26"/>
    <mergeCell ref="I29:L29"/>
    <mergeCell ref="B34:M34"/>
    <mergeCell ref="B35:G35"/>
    <mergeCell ref="H35:M35"/>
    <mergeCell ref="B36:G37"/>
    <mergeCell ref="H36:M37"/>
    <mergeCell ref="G22:G23"/>
    <mergeCell ref="AA22:AA23"/>
    <mergeCell ref="A24:AA24"/>
    <mergeCell ref="A25:A26"/>
    <mergeCell ref="B25:B26"/>
    <mergeCell ref="C25:C26"/>
    <mergeCell ref="D25:D26"/>
    <mergeCell ref="E25:E26"/>
    <mergeCell ref="F25:F26"/>
    <mergeCell ref="G25:G26"/>
    <mergeCell ref="A22:A23"/>
    <mergeCell ref="B22:B23"/>
    <mergeCell ref="C22:C23"/>
    <mergeCell ref="D22:D23"/>
    <mergeCell ref="E22:E23"/>
    <mergeCell ref="F22:F23"/>
    <mergeCell ref="A18:AA18"/>
    <mergeCell ref="A19:A20"/>
    <mergeCell ref="B19:B20"/>
    <mergeCell ref="C19:C20"/>
    <mergeCell ref="D19:D20"/>
    <mergeCell ref="E19:E20"/>
    <mergeCell ref="F19:F20"/>
    <mergeCell ref="G19:G20"/>
    <mergeCell ref="AA19:AA20"/>
    <mergeCell ref="A15:AA15"/>
    <mergeCell ref="A16:A17"/>
    <mergeCell ref="B16:B17"/>
    <mergeCell ref="C16:C17"/>
    <mergeCell ref="D16:D17"/>
    <mergeCell ref="E16:E17"/>
    <mergeCell ref="F16:F17"/>
    <mergeCell ref="G16:G17"/>
    <mergeCell ref="AA16:AA17"/>
    <mergeCell ref="A10:A11"/>
    <mergeCell ref="B10:B11"/>
    <mergeCell ref="C10:C11"/>
    <mergeCell ref="D10:D11"/>
    <mergeCell ref="E10:E11"/>
    <mergeCell ref="A12:AA12"/>
    <mergeCell ref="A13:A14"/>
    <mergeCell ref="B13:B14"/>
    <mergeCell ref="C13:C14"/>
    <mergeCell ref="D13:D14"/>
    <mergeCell ref="E13:E14"/>
    <mergeCell ref="F13:F14"/>
    <mergeCell ref="G13:G14"/>
    <mergeCell ref="AA13:AA14"/>
    <mergeCell ref="AA10:AA11"/>
    <mergeCell ref="F10:F11"/>
    <mergeCell ref="AA6:AA9"/>
    <mergeCell ref="B7:D7"/>
    <mergeCell ref="A1:AA1"/>
    <mergeCell ref="F2:G2"/>
    <mergeCell ref="W2:AA2"/>
    <mergeCell ref="A4:AA4"/>
    <mergeCell ref="A5:AA5"/>
    <mergeCell ref="E7:H7"/>
    <mergeCell ref="I7:Z7"/>
    <mergeCell ref="B8:Z8"/>
    <mergeCell ref="A6:A9"/>
    <mergeCell ref="B6:H6"/>
    <mergeCell ref="I6:Z6"/>
    <mergeCell ref="G10:G11"/>
  </mergeCells>
  <conditionalFormatting sqref="I21:Z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356" priority="15" operator="greaterThan">
      <formula>95%</formula>
    </cfRule>
    <cfRule type="cellIs" dxfId="355" priority="16" operator="greaterThanOrEqual">
      <formula>90%</formula>
    </cfRule>
    <cfRule type="cellIs" dxfId="354" priority="17" operator="lessThan">
      <formula>89.99%</formula>
    </cfRule>
  </conditionalFormatting>
  <conditionalFormatting sqref="AA13">
    <cfRule type="cellIs" dxfId="353" priority="12" operator="greaterThan">
      <formula>95%</formula>
    </cfRule>
    <cfRule type="cellIs" dxfId="352" priority="13" operator="greaterThanOrEqual">
      <formula>90%</formula>
    </cfRule>
    <cfRule type="cellIs" dxfId="351" priority="14" operator="lessThan">
      <formula>89.99%</formula>
    </cfRule>
  </conditionalFormatting>
  <conditionalFormatting sqref="AA16">
    <cfRule type="cellIs" dxfId="350" priority="9" operator="greaterThan">
      <formula>95%</formula>
    </cfRule>
    <cfRule type="cellIs" dxfId="349" priority="10" operator="greaterThanOrEqual">
      <formula>90%</formula>
    </cfRule>
    <cfRule type="cellIs" dxfId="348" priority="11" operator="lessThan">
      <formula>89.99%</formula>
    </cfRule>
  </conditionalFormatting>
  <conditionalFormatting sqref="AA19">
    <cfRule type="cellIs" dxfId="347" priority="6" operator="greaterThan">
      <formula>95%</formula>
    </cfRule>
    <cfRule type="cellIs" dxfId="346" priority="7" operator="greaterThanOrEqual">
      <formula>90%</formula>
    </cfRule>
    <cfRule type="cellIs" dxfId="345" priority="8" operator="lessThan">
      <formula>89.99%</formula>
    </cfRule>
  </conditionalFormatting>
  <conditionalFormatting sqref="AA22">
    <cfRule type="cellIs" dxfId="344" priority="1" operator="greaterThanOrEqual">
      <formula>100%</formula>
    </cfRule>
    <cfRule type="cellIs" dxfId="343" priority="2" operator="lessThan">
      <formula>99.99%</formula>
    </cfRule>
  </conditionalFormatting>
  <conditionalFormatting sqref="AA25">
    <cfRule type="cellIs" dxfId="342" priority="3" operator="greaterThan">
      <formula>95%</formula>
    </cfRule>
    <cfRule type="cellIs" dxfId="341" priority="4" operator="greaterThanOrEqual">
      <formula>90%</formula>
    </cfRule>
    <cfRule type="cellIs" dxfId="340" priority="5" operator="lessThan">
      <formula>89.99%</formula>
    </cfRule>
  </conditionalFormatting>
  <dataValidations count="1">
    <dataValidation showDropDown="1" showInputMessage="1" showErrorMessage="1" sqref="C21 G19:G23 G10:G11 G16:G17 G13:G14 G25:G26" xr:uid="{F94FB6E0-7861-4F13-BD44-6AC83D1AC843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12C3A-7FBA-4D63-AE7F-E6D40B9EB074}">
  <sheetPr>
    <tabColor rgb="FF0070C0"/>
  </sheetPr>
  <dimension ref="A1:AM38"/>
  <sheetViews>
    <sheetView showGridLines="0" topLeftCell="A4" zoomScale="59" zoomScaleNormal="59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6</v>
      </c>
      <c r="F2" s="129" t="s">
        <v>25</v>
      </c>
      <c r="G2" s="129"/>
      <c r="H2" s="22">
        <v>160651</v>
      </c>
      <c r="I2" s="21"/>
      <c r="J2" s="21"/>
      <c r="K2" s="21"/>
      <c r="L2" s="21"/>
      <c r="M2" s="21"/>
      <c r="N2" s="21"/>
      <c r="O2" s="21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69</v>
      </c>
      <c r="J10" s="24">
        <v>307</v>
      </c>
      <c r="K10" s="24">
        <v>306</v>
      </c>
      <c r="L10" s="24">
        <v>367</v>
      </c>
      <c r="M10" s="24">
        <v>399</v>
      </c>
      <c r="N10" s="24">
        <v>376</v>
      </c>
      <c r="O10" s="24">
        <v>330</v>
      </c>
      <c r="P10" s="24">
        <v>407</v>
      </c>
      <c r="Q10" s="24">
        <v>404</v>
      </c>
      <c r="R10" s="24">
        <v>267</v>
      </c>
      <c r="S10" s="24">
        <v>435</v>
      </c>
      <c r="T10" s="24">
        <v>497</v>
      </c>
      <c r="U10" s="24">
        <v>479</v>
      </c>
      <c r="V10" s="24">
        <v>642</v>
      </c>
      <c r="W10" s="24">
        <v>625</v>
      </c>
      <c r="X10" s="24">
        <v>636</v>
      </c>
      <c r="Y10" s="24">
        <v>646</v>
      </c>
      <c r="Z10" s="24">
        <v>523</v>
      </c>
      <c r="AA10" s="119">
        <f>IFERROR(SUM(I10:Z10)/SUM(I11:Z11),0)</f>
        <v>0.99974083192950625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f>69-0</f>
        <v>69</v>
      </c>
      <c r="J11" s="44">
        <f>311-2</f>
        <v>309</v>
      </c>
      <c r="K11" s="44">
        <f>307-1</f>
        <v>306</v>
      </c>
      <c r="L11" s="44">
        <f>367-0</f>
        <v>367</v>
      </c>
      <c r="M11" s="44">
        <f>401-2</f>
        <v>399</v>
      </c>
      <c r="N11" s="44">
        <f>377-1</f>
        <v>376</v>
      </c>
      <c r="O11" s="44">
        <f>332-2</f>
        <v>330</v>
      </c>
      <c r="P11" s="44">
        <f>407-0</f>
        <v>407</v>
      </c>
      <c r="Q11" s="44">
        <f>404-0</f>
        <v>404</v>
      </c>
      <c r="R11" s="44">
        <f>268-1</f>
        <v>267</v>
      </c>
      <c r="S11" s="44">
        <f>440-5</f>
        <v>435</v>
      </c>
      <c r="T11" s="44">
        <v>497</v>
      </c>
      <c r="U11" s="44">
        <v>479</v>
      </c>
      <c r="V11" s="44">
        <f>644-2</f>
        <v>642</v>
      </c>
      <c r="W11" s="44">
        <v>625</v>
      </c>
      <c r="X11" s="44">
        <v>636</v>
      </c>
      <c r="Y11" s="44">
        <f>646-0</f>
        <v>646</v>
      </c>
      <c r="Z11" s="44">
        <f>523-0</f>
        <v>523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68</v>
      </c>
      <c r="J13" s="24">
        <v>307</v>
      </c>
      <c r="K13" s="24">
        <v>305</v>
      </c>
      <c r="L13" s="24">
        <v>365</v>
      </c>
      <c r="M13" s="24">
        <v>399</v>
      </c>
      <c r="N13" s="24">
        <v>375</v>
      </c>
      <c r="O13" s="24">
        <v>327</v>
      </c>
      <c r="P13" s="24">
        <v>403</v>
      </c>
      <c r="Q13" s="24">
        <v>397</v>
      </c>
      <c r="R13" s="24">
        <v>267</v>
      </c>
      <c r="S13" s="24">
        <v>433</v>
      </c>
      <c r="T13" s="24">
        <v>496</v>
      </c>
      <c r="U13" s="24">
        <v>478</v>
      </c>
      <c r="V13" s="24">
        <v>637</v>
      </c>
      <c r="W13" s="24">
        <v>625</v>
      </c>
      <c r="X13" s="24">
        <v>531</v>
      </c>
      <c r="Y13" s="24">
        <v>638</v>
      </c>
      <c r="Z13" s="24">
        <v>255</v>
      </c>
      <c r="AA13" s="119">
        <f>IFERROR(SUM(I13:Z13)/SUM(I14:Z14),0)</f>
        <v>0.9594221930400525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69</v>
      </c>
      <c r="J14" s="44">
        <v>307</v>
      </c>
      <c r="K14" s="44">
        <v>306</v>
      </c>
      <c r="L14" s="44">
        <v>367</v>
      </c>
      <c r="M14" s="44">
        <v>399</v>
      </c>
      <c r="N14" s="44">
        <v>376</v>
      </c>
      <c r="O14" s="44">
        <v>330</v>
      </c>
      <c r="P14" s="44">
        <v>407</v>
      </c>
      <c r="Q14" s="44">
        <v>404</v>
      </c>
      <c r="R14" s="44">
        <v>267</v>
      </c>
      <c r="S14" s="44">
        <v>435</v>
      </c>
      <c r="T14" s="44">
        <v>497</v>
      </c>
      <c r="U14" s="44">
        <v>479</v>
      </c>
      <c r="V14" s="44">
        <v>642</v>
      </c>
      <c r="W14" s="44">
        <v>625</v>
      </c>
      <c r="X14" s="44">
        <v>536</v>
      </c>
      <c r="Y14" s="44">
        <v>646</v>
      </c>
      <c r="Z14" s="44">
        <v>523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69</v>
      </c>
      <c r="J16" s="24">
        <v>307</v>
      </c>
      <c r="K16" s="24">
        <v>306</v>
      </c>
      <c r="L16" s="24">
        <v>367</v>
      </c>
      <c r="M16" s="24">
        <v>399</v>
      </c>
      <c r="N16" s="24">
        <v>376</v>
      </c>
      <c r="O16" s="24">
        <v>330</v>
      </c>
      <c r="P16" s="24">
        <v>407</v>
      </c>
      <c r="Q16" s="24">
        <v>404</v>
      </c>
      <c r="R16" s="24">
        <v>267</v>
      </c>
      <c r="S16" s="24">
        <v>435</v>
      </c>
      <c r="T16" s="24">
        <v>497</v>
      </c>
      <c r="U16" s="24">
        <v>479</v>
      </c>
      <c r="V16" s="24">
        <v>642</v>
      </c>
      <c r="W16" s="24">
        <v>625</v>
      </c>
      <c r="X16" s="24">
        <v>536</v>
      </c>
      <c r="Y16" s="24">
        <v>646</v>
      </c>
      <c r="Z16" s="24">
        <v>523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69</v>
      </c>
      <c r="J17" s="44">
        <v>307</v>
      </c>
      <c r="K17" s="44">
        <v>306</v>
      </c>
      <c r="L17" s="44">
        <v>367</v>
      </c>
      <c r="M17" s="44">
        <v>399</v>
      </c>
      <c r="N17" s="44">
        <v>376</v>
      </c>
      <c r="O17" s="44">
        <v>330</v>
      </c>
      <c r="P17" s="44">
        <v>407</v>
      </c>
      <c r="Q17" s="44">
        <v>404</v>
      </c>
      <c r="R17" s="44">
        <v>267</v>
      </c>
      <c r="S17" s="44">
        <v>435</v>
      </c>
      <c r="T17" s="44">
        <v>497</v>
      </c>
      <c r="U17" s="44">
        <v>479</v>
      </c>
      <c r="V17" s="44">
        <v>642</v>
      </c>
      <c r="W17" s="44">
        <v>625</v>
      </c>
      <c r="X17" s="44">
        <v>536</v>
      </c>
      <c r="Y17" s="44">
        <v>646</v>
      </c>
      <c r="Z17" s="44">
        <v>523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f>0-0</f>
        <v>0</v>
      </c>
      <c r="J19" s="24">
        <f>463-0</f>
        <v>463</v>
      </c>
      <c r="K19" s="24">
        <f>313-0</f>
        <v>313</v>
      </c>
      <c r="L19" s="24">
        <f>414-0</f>
        <v>414</v>
      </c>
      <c r="M19" s="24">
        <f>349-0</f>
        <v>349</v>
      </c>
      <c r="N19" s="24">
        <f>467-0</f>
        <v>467</v>
      </c>
      <c r="O19" s="24">
        <f>421-0</f>
        <v>421</v>
      </c>
      <c r="P19" s="24">
        <f>297-0</f>
        <v>297</v>
      </c>
      <c r="Q19" s="24">
        <f>330-0</f>
        <v>330</v>
      </c>
      <c r="R19" s="24">
        <v>391</v>
      </c>
      <c r="S19" s="24">
        <v>373</v>
      </c>
      <c r="T19" s="24">
        <v>426</v>
      </c>
      <c r="U19" s="24">
        <v>99</v>
      </c>
      <c r="V19" s="24">
        <v>986</v>
      </c>
      <c r="W19" s="24">
        <v>218</v>
      </c>
      <c r="X19" s="24">
        <v>944</v>
      </c>
      <c r="Y19" s="24">
        <v>414</v>
      </c>
      <c r="Z19" s="24">
        <v>287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0</v>
      </c>
      <c r="J20" s="44">
        <v>463</v>
      </c>
      <c r="K20" s="44">
        <v>313</v>
      </c>
      <c r="L20" s="44">
        <v>414</v>
      </c>
      <c r="M20" s="44">
        <v>349</v>
      </c>
      <c r="N20" s="44">
        <v>467</v>
      </c>
      <c r="O20" s="44">
        <v>421</v>
      </c>
      <c r="P20" s="44">
        <v>297</v>
      </c>
      <c r="Q20" s="44">
        <v>330</v>
      </c>
      <c r="R20" s="44">
        <v>391</v>
      </c>
      <c r="S20" s="44">
        <v>373</v>
      </c>
      <c r="T20" s="44">
        <v>426</v>
      </c>
      <c r="U20" s="44">
        <v>99</v>
      </c>
      <c r="V20" s="44">
        <v>986</v>
      </c>
      <c r="W20" s="44">
        <v>218</v>
      </c>
      <c r="X20" s="44">
        <v>944</v>
      </c>
      <c r="Y20" s="44">
        <v>414</v>
      </c>
      <c r="Z20" s="44">
        <v>287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490</v>
      </c>
      <c r="J22" s="24">
        <v>582</v>
      </c>
      <c r="K22" s="24">
        <v>552</v>
      </c>
      <c r="L22" s="24">
        <v>646</v>
      </c>
      <c r="M22" s="24">
        <v>667</v>
      </c>
      <c r="N22" s="24">
        <v>737</v>
      </c>
      <c r="O22" s="24">
        <v>653</v>
      </c>
      <c r="P22" s="24">
        <v>728</v>
      </c>
      <c r="Q22" s="24">
        <v>661</v>
      </c>
      <c r="R22" s="24">
        <v>732</v>
      </c>
      <c r="S22" s="24">
        <v>725</v>
      </c>
      <c r="T22" s="24">
        <v>760</v>
      </c>
      <c r="U22" s="24">
        <v>508</v>
      </c>
      <c r="V22" s="24">
        <v>1039</v>
      </c>
      <c r="W22" s="24">
        <v>657</v>
      </c>
      <c r="X22" s="24">
        <v>1010</v>
      </c>
      <c r="Y22" s="24">
        <v>838</v>
      </c>
      <c r="Z22" s="24">
        <v>665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490</v>
      </c>
      <c r="J23" s="44">
        <v>582</v>
      </c>
      <c r="K23" s="44">
        <v>552</v>
      </c>
      <c r="L23" s="44">
        <v>646</v>
      </c>
      <c r="M23" s="44">
        <v>667</v>
      </c>
      <c r="N23" s="44">
        <v>737</v>
      </c>
      <c r="O23" s="44">
        <v>653</v>
      </c>
      <c r="P23" s="44">
        <v>728</v>
      </c>
      <c r="Q23" s="44">
        <v>661</v>
      </c>
      <c r="R23" s="44">
        <v>732</v>
      </c>
      <c r="S23" s="44">
        <v>725</v>
      </c>
      <c r="T23" s="44">
        <v>760</v>
      </c>
      <c r="U23" s="44">
        <v>508</v>
      </c>
      <c r="V23" s="44">
        <v>1039</v>
      </c>
      <c r="W23" s="44">
        <v>657</v>
      </c>
      <c r="X23" s="44">
        <v>1010</v>
      </c>
      <c r="Y23" s="44">
        <v>838</v>
      </c>
      <c r="Z23" s="44">
        <v>665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84</v>
      </c>
      <c r="J25" s="24">
        <v>371</v>
      </c>
      <c r="K25" s="24">
        <v>331</v>
      </c>
      <c r="L25" s="24">
        <v>320</v>
      </c>
      <c r="M25" s="24">
        <v>328</v>
      </c>
      <c r="N25" s="24">
        <v>395</v>
      </c>
      <c r="O25" s="24">
        <v>381</v>
      </c>
      <c r="P25" s="24">
        <v>346</v>
      </c>
      <c r="Q25" s="24">
        <v>397</v>
      </c>
      <c r="R25" s="24">
        <v>320</v>
      </c>
      <c r="S25" s="24">
        <v>377</v>
      </c>
      <c r="T25" s="24">
        <v>391</v>
      </c>
      <c r="U25" s="24">
        <v>351</v>
      </c>
      <c r="V25" s="24">
        <v>455</v>
      </c>
      <c r="W25" s="24">
        <v>596</v>
      </c>
      <c r="X25" s="24">
        <v>591</v>
      </c>
      <c r="Y25" s="24">
        <v>586</v>
      </c>
      <c r="Z25" s="24">
        <v>460</v>
      </c>
      <c r="AA25" s="119">
        <f>IFERROR(SUM(I25:Z25)/SUM(I26:Z26),0)</f>
        <v>0.99760462167112862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f>79+5+0</f>
        <v>84</v>
      </c>
      <c r="J26" s="44">
        <f>338+33+11</f>
        <v>382</v>
      </c>
      <c r="K26" s="44">
        <f>305+26+0</f>
        <v>331</v>
      </c>
      <c r="L26" s="44">
        <f>291+29+0</f>
        <v>320</v>
      </c>
      <c r="M26" s="44">
        <f>299+29+0</f>
        <v>328</v>
      </c>
      <c r="N26" s="44">
        <f>365+30+0</f>
        <v>395</v>
      </c>
      <c r="O26" s="44">
        <f>381+0+4</f>
        <v>385</v>
      </c>
      <c r="P26" s="44">
        <f>320+26+2</f>
        <v>348</v>
      </c>
      <c r="Q26" s="44">
        <f>362+35+0</f>
        <v>397</v>
      </c>
      <c r="R26" s="44">
        <f>292+28+0</f>
        <v>320</v>
      </c>
      <c r="S26" s="44">
        <f>344+33+0</f>
        <v>377</v>
      </c>
      <c r="T26" s="44">
        <f>354+37+0</f>
        <v>391</v>
      </c>
      <c r="U26" s="44">
        <f>333+18+0</f>
        <v>351</v>
      </c>
      <c r="V26" s="44">
        <f>413+42+0</f>
        <v>455</v>
      </c>
      <c r="W26" s="44">
        <f>553+43+0</f>
        <v>596</v>
      </c>
      <c r="X26" s="44">
        <f>548+43+0</f>
        <v>591</v>
      </c>
      <c r="Y26" s="44">
        <f>550+36</f>
        <v>586</v>
      </c>
      <c r="Z26" s="44">
        <f>432+28</f>
        <v>460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AA25:AA26"/>
    <mergeCell ref="I29:L29"/>
    <mergeCell ref="B34:M34"/>
    <mergeCell ref="B35:G35"/>
    <mergeCell ref="H35:M35"/>
    <mergeCell ref="B36:G37"/>
    <mergeCell ref="H36:M37"/>
    <mergeCell ref="G22:G23"/>
    <mergeCell ref="AA22:AA23"/>
    <mergeCell ref="A24:AA24"/>
    <mergeCell ref="A25:A26"/>
    <mergeCell ref="B25:B26"/>
    <mergeCell ref="C25:C26"/>
    <mergeCell ref="D25:D26"/>
    <mergeCell ref="E25:E26"/>
    <mergeCell ref="F25:F26"/>
    <mergeCell ref="G25:G26"/>
    <mergeCell ref="A22:A23"/>
    <mergeCell ref="B22:B23"/>
    <mergeCell ref="C22:C23"/>
    <mergeCell ref="D22:D23"/>
    <mergeCell ref="E22:E23"/>
    <mergeCell ref="F22:F23"/>
    <mergeCell ref="A18:AA18"/>
    <mergeCell ref="A19:A20"/>
    <mergeCell ref="B19:B20"/>
    <mergeCell ref="C19:C20"/>
    <mergeCell ref="D19:D20"/>
    <mergeCell ref="E19:E20"/>
    <mergeCell ref="F19:F20"/>
    <mergeCell ref="G19:G20"/>
    <mergeCell ref="AA19:AA20"/>
    <mergeCell ref="A15:AA15"/>
    <mergeCell ref="A16:A17"/>
    <mergeCell ref="B16:B17"/>
    <mergeCell ref="C16:C17"/>
    <mergeCell ref="D16:D17"/>
    <mergeCell ref="E16:E17"/>
    <mergeCell ref="F16:F17"/>
    <mergeCell ref="G16:G17"/>
    <mergeCell ref="AA16:AA17"/>
    <mergeCell ref="A10:A11"/>
    <mergeCell ref="B10:B11"/>
    <mergeCell ref="C10:C11"/>
    <mergeCell ref="D10:D11"/>
    <mergeCell ref="E10:E11"/>
    <mergeCell ref="A12:AA12"/>
    <mergeCell ref="A13:A14"/>
    <mergeCell ref="B13:B14"/>
    <mergeCell ref="C13:C14"/>
    <mergeCell ref="D13:D14"/>
    <mergeCell ref="E13:E14"/>
    <mergeCell ref="F13:F14"/>
    <mergeCell ref="G13:G14"/>
    <mergeCell ref="AA13:AA14"/>
    <mergeCell ref="AA10:AA11"/>
    <mergeCell ref="F10:F11"/>
    <mergeCell ref="AA6:AA9"/>
    <mergeCell ref="B7:D7"/>
    <mergeCell ref="A1:AA1"/>
    <mergeCell ref="F2:G2"/>
    <mergeCell ref="W2:AA2"/>
    <mergeCell ref="A4:AA4"/>
    <mergeCell ref="A5:AA5"/>
    <mergeCell ref="E7:H7"/>
    <mergeCell ref="I7:Z7"/>
    <mergeCell ref="B8:Z8"/>
    <mergeCell ref="A6:A9"/>
    <mergeCell ref="B6:H6"/>
    <mergeCell ref="I6:Z6"/>
    <mergeCell ref="G10:G11"/>
  </mergeCells>
  <conditionalFormatting sqref="I21:Z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339" priority="15" operator="greaterThan">
      <formula>95%</formula>
    </cfRule>
    <cfRule type="cellIs" dxfId="338" priority="16" operator="greaterThanOrEqual">
      <formula>90%</formula>
    </cfRule>
    <cfRule type="cellIs" dxfId="337" priority="17" operator="lessThan">
      <formula>89.99%</formula>
    </cfRule>
  </conditionalFormatting>
  <conditionalFormatting sqref="AA13">
    <cfRule type="cellIs" dxfId="336" priority="12" operator="greaterThan">
      <formula>95%</formula>
    </cfRule>
    <cfRule type="cellIs" dxfId="335" priority="13" operator="greaterThanOrEqual">
      <formula>90%</formula>
    </cfRule>
    <cfRule type="cellIs" dxfId="334" priority="14" operator="lessThan">
      <formula>89.99%</formula>
    </cfRule>
  </conditionalFormatting>
  <conditionalFormatting sqref="AA16">
    <cfRule type="cellIs" dxfId="333" priority="9" operator="greaterThan">
      <formula>95%</formula>
    </cfRule>
    <cfRule type="cellIs" dxfId="332" priority="10" operator="greaterThanOrEqual">
      <formula>90%</formula>
    </cfRule>
    <cfRule type="cellIs" dxfId="331" priority="11" operator="lessThan">
      <formula>89.99%</formula>
    </cfRule>
  </conditionalFormatting>
  <conditionalFormatting sqref="AA19">
    <cfRule type="cellIs" dxfId="330" priority="6" operator="greaterThan">
      <formula>95%</formula>
    </cfRule>
    <cfRule type="cellIs" dxfId="329" priority="7" operator="greaterThanOrEqual">
      <formula>90%</formula>
    </cfRule>
    <cfRule type="cellIs" dxfId="328" priority="8" operator="lessThan">
      <formula>89.99%</formula>
    </cfRule>
  </conditionalFormatting>
  <conditionalFormatting sqref="AA22">
    <cfRule type="cellIs" dxfId="327" priority="1" operator="greaterThanOrEqual">
      <formula>100%</formula>
    </cfRule>
    <cfRule type="cellIs" dxfId="326" priority="2" operator="lessThan">
      <formula>99.99%</formula>
    </cfRule>
  </conditionalFormatting>
  <conditionalFormatting sqref="AA25">
    <cfRule type="cellIs" dxfId="325" priority="3" operator="greaterThan">
      <formula>95%</formula>
    </cfRule>
    <cfRule type="cellIs" dxfId="324" priority="4" operator="greaterThanOrEqual">
      <formula>90%</formula>
    </cfRule>
    <cfRule type="cellIs" dxfId="323" priority="5" operator="lessThan">
      <formula>89.99%</formula>
    </cfRule>
  </conditionalFormatting>
  <dataValidations disablePrompts="1" count="1">
    <dataValidation showDropDown="1" showInputMessage="1" showErrorMessage="1" sqref="C21 G19:G23 G10:G11 G16:G17 G13:G14 G25:G26" xr:uid="{36B2D3A5-13B5-4675-AEBA-83542B02BCED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70C0"/>
  </sheetPr>
  <dimension ref="A1:AM38"/>
  <sheetViews>
    <sheetView showGridLines="0" zoomScale="57" zoomScaleNormal="57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6</v>
      </c>
      <c r="F2" s="129" t="s">
        <v>25</v>
      </c>
      <c r="G2" s="129"/>
      <c r="H2" s="22">
        <v>160654</v>
      </c>
      <c r="I2" s="21"/>
      <c r="J2" s="21"/>
      <c r="K2" s="21"/>
      <c r="L2" s="21"/>
      <c r="M2" s="21"/>
      <c r="N2" s="21"/>
      <c r="O2" s="21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8</v>
      </c>
      <c r="J10" s="24">
        <v>99</v>
      </c>
      <c r="K10" s="24">
        <v>137</v>
      </c>
      <c r="L10" s="24">
        <v>123</v>
      </c>
      <c r="M10" s="24">
        <v>81</v>
      </c>
      <c r="N10" s="24">
        <v>123</v>
      </c>
      <c r="O10" s="24">
        <v>112</v>
      </c>
      <c r="P10" s="24">
        <v>137</v>
      </c>
      <c r="Q10" s="24">
        <v>119</v>
      </c>
      <c r="R10" s="24">
        <v>68</v>
      </c>
      <c r="S10" s="24">
        <v>92</v>
      </c>
      <c r="T10" s="24">
        <v>136</v>
      </c>
      <c r="U10" s="24">
        <v>112</v>
      </c>
      <c r="V10" s="24">
        <v>162</v>
      </c>
      <c r="W10" s="24">
        <v>212</v>
      </c>
      <c r="X10" s="24">
        <v>198</v>
      </c>
      <c r="Y10" s="24">
        <v>187</v>
      </c>
      <c r="Z10" s="24">
        <v>126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f>8-0</f>
        <v>8</v>
      </c>
      <c r="J11" s="44">
        <f>101-2</f>
        <v>99</v>
      </c>
      <c r="K11" s="44">
        <f>143-6</f>
        <v>137</v>
      </c>
      <c r="L11" s="44">
        <f>130-7</f>
        <v>123</v>
      </c>
      <c r="M11" s="44">
        <f>85-4</f>
        <v>81</v>
      </c>
      <c r="N11" s="44">
        <f>134-11</f>
        <v>123</v>
      </c>
      <c r="O11" s="44">
        <f>116-4</f>
        <v>112</v>
      </c>
      <c r="P11" s="44">
        <f>139-2</f>
        <v>137</v>
      </c>
      <c r="Q11" s="44">
        <f>120-1</f>
        <v>119</v>
      </c>
      <c r="R11" s="44">
        <f>69-1</f>
        <v>68</v>
      </c>
      <c r="S11" s="44">
        <f>95-3</f>
        <v>92</v>
      </c>
      <c r="T11" s="44">
        <f>137-1</f>
        <v>136</v>
      </c>
      <c r="U11" s="44">
        <f>114-2</f>
        <v>112</v>
      </c>
      <c r="V11" s="44">
        <f>167-5</f>
        <v>162</v>
      </c>
      <c r="W11" s="44">
        <f>215-3</f>
        <v>212</v>
      </c>
      <c r="X11" s="44">
        <f>199-1</f>
        <v>198</v>
      </c>
      <c r="Y11" s="44">
        <f>189-2</f>
        <v>187</v>
      </c>
      <c r="Z11" s="44">
        <f>127-1</f>
        <v>126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8</v>
      </c>
      <c r="J13" s="24">
        <v>98</v>
      </c>
      <c r="K13" s="24">
        <v>136</v>
      </c>
      <c r="L13" s="24">
        <v>123</v>
      </c>
      <c r="M13" s="24">
        <v>80</v>
      </c>
      <c r="N13" s="24">
        <v>123</v>
      </c>
      <c r="O13" s="24">
        <v>111</v>
      </c>
      <c r="P13" s="24">
        <v>136</v>
      </c>
      <c r="Q13" s="24">
        <v>119</v>
      </c>
      <c r="R13" s="24">
        <v>68</v>
      </c>
      <c r="S13" s="24">
        <v>88</v>
      </c>
      <c r="T13" s="24">
        <v>135</v>
      </c>
      <c r="U13" s="24">
        <v>112</v>
      </c>
      <c r="V13" s="24">
        <v>162</v>
      </c>
      <c r="W13" s="24">
        <v>211</v>
      </c>
      <c r="X13" s="24">
        <v>192</v>
      </c>
      <c r="Y13" s="24">
        <v>183</v>
      </c>
      <c r="Z13" s="24">
        <v>72</v>
      </c>
      <c r="AA13" s="119">
        <f>IFERROR(SUM(I13:Z13)/SUM(I14:Z14),0)</f>
        <v>0.96683101748095024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8</v>
      </c>
      <c r="J14" s="44">
        <v>99</v>
      </c>
      <c r="K14" s="44">
        <v>137</v>
      </c>
      <c r="L14" s="44">
        <v>123</v>
      </c>
      <c r="M14" s="44">
        <v>81</v>
      </c>
      <c r="N14" s="44">
        <v>123</v>
      </c>
      <c r="O14" s="44">
        <v>112</v>
      </c>
      <c r="P14" s="44">
        <v>136</v>
      </c>
      <c r="Q14" s="44">
        <v>119</v>
      </c>
      <c r="R14" s="44">
        <v>68</v>
      </c>
      <c r="S14" s="44">
        <v>92</v>
      </c>
      <c r="T14" s="44">
        <v>136</v>
      </c>
      <c r="U14" s="44">
        <v>112</v>
      </c>
      <c r="V14" s="44">
        <v>162</v>
      </c>
      <c r="W14" s="44">
        <v>212</v>
      </c>
      <c r="X14" s="44">
        <v>198</v>
      </c>
      <c r="Y14" s="44">
        <v>187</v>
      </c>
      <c r="Z14" s="44">
        <v>126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8</v>
      </c>
      <c r="J16" s="24">
        <v>99</v>
      </c>
      <c r="K16" s="24">
        <v>137</v>
      </c>
      <c r="L16" s="24">
        <v>123</v>
      </c>
      <c r="M16" s="24">
        <v>81</v>
      </c>
      <c r="N16" s="24">
        <v>123</v>
      </c>
      <c r="O16" s="24">
        <v>112</v>
      </c>
      <c r="P16" s="24">
        <v>137</v>
      </c>
      <c r="Q16" s="24">
        <v>119</v>
      </c>
      <c r="R16" s="24">
        <v>68</v>
      </c>
      <c r="S16" s="24">
        <v>91</v>
      </c>
      <c r="T16" s="24">
        <v>136</v>
      </c>
      <c r="U16" s="24">
        <v>112</v>
      </c>
      <c r="V16" s="24">
        <v>162</v>
      </c>
      <c r="W16" s="24">
        <v>212</v>
      </c>
      <c r="X16" s="24">
        <v>198</v>
      </c>
      <c r="Y16" s="24">
        <v>187</v>
      </c>
      <c r="Z16" s="24">
        <v>126</v>
      </c>
      <c r="AA16" s="119">
        <f>IFERROR(SUM(I16:Z16)/SUM(I17:Z17),0)</f>
        <v>0.99955197132616491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8</v>
      </c>
      <c r="J17" s="44">
        <v>99</v>
      </c>
      <c r="K17" s="44">
        <v>137</v>
      </c>
      <c r="L17" s="44">
        <v>123</v>
      </c>
      <c r="M17" s="44">
        <v>81</v>
      </c>
      <c r="N17" s="44">
        <v>123</v>
      </c>
      <c r="O17" s="44">
        <v>112</v>
      </c>
      <c r="P17" s="44">
        <v>137</v>
      </c>
      <c r="Q17" s="44">
        <v>119</v>
      </c>
      <c r="R17" s="44">
        <v>68</v>
      </c>
      <c r="S17" s="44">
        <v>92</v>
      </c>
      <c r="T17" s="44">
        <v>136</v>
      </c>
      <c r="U17" s="44">
        <v>112</v>
      </c>
      <c r="V17" s="44">
        <v>162</v>
      </c>
      <c r="W17" s="44">
        <v>212</v>
      </c>
      <c r="X17" s="44">
        <v>198</v>
      </c>
      <c r="Y17" s="44">
        <v>187</v>
      </c>
      <c r="Z17" s="44">
        <v>126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0</v>
      </c>
      <c r="J19" s="24">
        <f>133-0</f>
        <v>133</v>
      </c>
      <c r="K19" s="24">
        <f>100-0</f>
        <v>100</v>
      </c>
      <c r="L19" s="24">
        <f>168-0</f>
        <v>168</v>
      </c>
      <c r="M19" s="24">
        <f>90-0</f>
        <v>90</v>
      </c>
      <c r="N19" s="24">
        <f>134-0</f>
        <v>134</v>
      </c>
      <c r="O19" s="24">
        <f>94-0</f>
        <v>94</v>
      </c>
      <c r="P19" s="24">
        <f>147-0</f>
        <v>147</v>
      </c>
      <c r="Q19" s="24">
        <f>116-0</f>
        <v>116</v>
      </c>
      <c r="R19" s="24">
        <v>108</v>
      </c>
      <c r="S19" s="24">
        <v>73</v>
      </c>
      <c r="T19" s="24">
        <v>114</v>
      </c>
      <c r="U19" s="24">
        <v>25</v>
      </c>
      <c r="V19" s="24">
        <v>177</v>
      </c>
      <c r="W19" s="24">
        <v>123</v>
      </c>
      <c r="X19" s="24">
        <v>323</v>
      </c>
      <c r="Y19" s="24">
        <v>116</v>
      </c>
      <c r="Z19" s="24">
        <v>109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0</v>
      </c>
      <c r="J20" s="44">
        <v>133</v>
      </c>
      <c r="K20" s="44">
        <v>100</v>
      </c>
      <c r="L20" s="44">
        <v>168</v>
      </c>
      <c r="M20" s="44">
        <v>90</v>
      </c>
      <c r="N20" s="44">
        <v>134</v>
      </c>
      <c r="O20" s="44">
        <v>94</v>
      </c>
      <c r="P20" s="44">
        <v>147</v>
      </c>
      <c r="Q20" s="44">
        <v>116</v>
      </c>
      <c r="R20" s="44">
        <v>108</v>
      </c>
      <c r="S20" s="44">
        <v>73</v>
      </c>
      <c r="T20" s="44">
        <v>114</v>
      </c>
      <c r="U20" s="44">
        <v>25</v>
      </c>
      <c r="V20" s="44">
        <v>177</v>
      </c>
      <c r="W20" s="44">
        <v>123</v>
      </c>
      <c r="X20" s="44">
        <v>323</v>
      </c>
      <c r="Y20" s="44">
        <v>116</v>
      </c>
      <c r="Z20" s="44">
        <v>109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389</v>
      </c>
      <c r="J22" s="24">
        <v>469</v>
      </c>
      <c r="K22" s="24">
        <v>512</v>
      </c>
      <c r="L22" s="24">
        <v>609</v>
      </c>
      <c r="M22" s="24">
        <v>536</v>
      </c>
      <c r="N22" s="24">
        <v>519</v>
      </c>
      <c r="O22" s="24">
        <v>490</v>
      </c>
      <c r="P22" s="24">
        <v>510</v>
      </c>
      <c r="Q22" s="24">
        <v>489</v>
      </c>
      <c r="R22" s="24">
        <v>542</v>
      </c>
      <c r="S22" s="24">
        <v>484</v>
      </c>
      <c r="T22" s="24">
        <v>432</v>
      </c>
      <c r="U22" s="24">
        <v>354</v>
      </c>
      <c r="V22" s="24">
        <v>448</v>
      </c>
      <c r="W22" s="24">
        <v>493</v>
      </c>
      <c r="X22" s="24">
        <v>660</v>
      </c>
      <c r="Y22" s="24">
        <v>595</v>
      </c>
      <c r="Z22" s="24">
        <v>520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389</v>
      </c>
      <c r="J23" s="44">
        <v>469</v>
      </c>
      <c r="K23" s="44">
        <v>512</v>
      </c>
      <c r="L23" s="44">
        <v>609</v>
      </c>
      <c r="M23" s="44">
        <v>536</v>
      </c>
      <c r="N23" s="44">
        <v>519</v>
      </c>
      <c r="O23" s="44">
        <v>490</v>
      </c>
      <c r="P23" s="44">
        <v>510</v>
      </c>
      <c r="Q23" s="44">
        <v>489</v>
      </c>
      <c r="R23" s="44">
        <v>542</v>
      </c>
      <c r="S23" s="44">
        <v>484</v>
      </c>
      <c r="T23" s="44">
        <v>432</v>
      </c>
      <c r="U23" s="44">
        <v>354</v>
      </c>
      <c r="V23" s="44">
        <v>448</v>
      </c>
      <c r="W23" s="44">
        <v>493</v>
      </c>
      <c r="X23" s="44">
        <v>660</v>
      </c>
      <c r="Y23" s="44">
        <v>595</v>
      </c>
      <c r="Z23" s="44">
        <v>520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32</v>
      </c>
      <c r="J25" s="24">
        <v>53</v>
      </c>
      <c r="K25" s="24">
        <v>50</v>
      </c>
      <c r="L25" s="24">
        <v>71</v>
      </c>
      <c r="M25" s="24">
        <v>124</v>
      </c>
      <c r="N25" s="24">
        <v>150</v>
      </c>
      <c r="O25" s="24">
        <v>123</v>
      </c>
      <c r="P25" s="24">
        <v>127</v>
      </c>
      <c r="Q25" s="24">
        <v>137</v>
      </c>
      <c r="R25" s="24">
        <v>55</v>
      </c>
      <c r="S25" s="24">
        <v>130</v>
      </c>
      <c r="T25" s="24">
        <v>166</v>
      </c>
      <c r="U25" s="24">
        <v>103</v>
      </c>
      <c r="V25" s="24">
        <v>83</v>
      </c>
      <c r="W25" s="24">
        <v>77</v>
      </c>
      <c r="X25" s="24">
        <v>156</v>
      </c>
      <c r="Y25" s="24">
        <v>181</v>
      </c>
      <c r="Z25" s="24">
        <v>184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f>31+1+0</f>
        <v>32</v>
      </c>
      <c r="J26" s="44">
        <f>49+4+0</f>
        <v>53</v>
      </c>
      <c r="K26" s="44">
        <f>45+5+0</f>
        <v>50</v>
      </c>
      <c r="L26" s="44">
        <f>66+5+0</f>
        <v>71</v>
      </c>
      <c r="M26" s="44">
        <f>112+12+0</f>
        <v>124</v>
      </c>
      <c r="N26" s="44">
        <f>134+16+0</f>
        <v>150</v>
      </c>
      <c r="O26" s="44">
        <f>111+12+0</f>
        <v>123</v>
      </c>
      <c r="P26" s="44">
        <f>114+13+0</f>
        <v>127</v>
      </c>
      <c r="Q26" s="44">
        <f>121+16+0</f>
        <v>137</v>
      </c>
      <c r="R26" s="44">
        <f>47+8+0</f>
        <v>55</v>
      </c>
      <c r="S26" s="44">
        <f>119+11+0</f>
        <v>130</v>
      </c>
      <c r="T26" s="44">
        <f>155+11+0</f>
        <v>166</v>
      </c>
      <c r="U26" s="44">
        <f>98+5+0</f>
        <v>103</v>
      </c>
      <c r="V26" s="44">
        <f>79+4+0</f>
        <v>83</v>
      </c>
      <c r="W26" s="44">
        <f>71+6+0</f>
        <v>77</v>
      </c>
      <c r="X26" s="44">
        <f>144+12+0</f>
        <v>156</v>
      </c>
      <c r="Y26" s="44">
        <f>166+15+0</f>
        <v>181</v>
      </c>
      <c r="Z26" s="44">
        <f>166+18+0</f>
        <v>184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G25:G26"/>
    <mergeCell ref="AA25:AA26"/>
    <mergeCell ref="A24:AA24"/>
    <mergeCell ref="A25:A26"/>
    <mergeCell ref="B25:B26"/>
    <mergeCell ref="C25:C26"/>
    <mergeCell ref="D25:D26"/>
    <mergeCell ref="E25:E26"/>
    <mergeCell ref="F25:F26"/>
    <mergeCell ref="E22:E23"/>
    <mergeCell ref="F19:F20"/>
    <mergeCell ref="G19:G20"/>
    <mergeCell ref="AA19:AA20"/>
    <mergeCell ref="A19:A20"/>
    <mergeCell ref="B19:B20"/>
    <mergeCell ref="C19:C20"/>
    <mergeCell ref="D19:D20"/>
    <mergeCell ref="E19:E20"/>
    <mergeCell ref="F22:F23"/>
    <mergeCell ref="G22:G23"/>
    <mergeCell ref="AA22:AA23"/>
    <mergeCell ref="A22:A23"/>
    <mergeCell ref="B22:B23"/>
    <mergeCell ref="C22:C23"/>
    <mergeCell ref="D22:D23"/>
    <mergeCell ref="F16:F17"/>
    <mergeCell ref="G16:G17"/>
    <mergeCell ref="AA16:AA17"/>
    <mergeCell ref="A18:AA18"/>
    <mergeCell ref="A16:A17"/>
    <mergeCell ref="B16:B17"/>
    <mergeCell ref="C16:C17"/>
    <mergeCell ref="D16:D17"/>
    <mergeCell ref="E16:E17"/>
    <mergeCell ref="F13:F14"/>
    <mergeCell ref="G13:G14"/>
    <mergeCell ref="AA13:AA14"/>
    <mergeCell ref="A15:AA15"/>
    <mergeCell ref="A13:A14"/>
    <mergeCell ref="B13:B14"/>
    <mergeCell ref="C13:C14"/>
    <mergeCell ref="D13:D14"/>
    <mergeCell ref="E13:E14"/>
    <mergeCell ref="A12:AA12"/>
    <mergeCell ref="A10:A11"/>
    <mergeCell ref="B10:B11"/>
    <mergeCell ref="C10:C11"/>
    <mergeCell ref="D10:D11"/>
    <mergeCell ref="E10:E11"/>
    <mergeCell ref="A1:AA1"/>
    <mergeCell ref="F2:G2"/>
    <mergeCell ref="A4:AA4"/>
    <mergeCell ref="A5:AA5"/>
    <mergeCell ref="F10:F11"/>
    <mergeCell ref="G10:G11"/>
    <mergeCell ref="AA10:AA11"/>
    <mergeCell ref="A6:A9"/>
    <mergeCell ref="B6:H6"/>
    <mergeCell ref="I6:Z6"/>
    <mergeCell ref="AA6:AA9"/>
    <mergeCell ref="B7:D7"/>
    <mergeCell ref="E7:H7"/>
    <mergeCell ref="I7:Z7"/>
    <mergeCell ref="B8:Z8"/>
    <mergeCell ref="W2:AA2"/>
    <mergeCell ref="I29:L29"/>
    <mergeCell ref="B34:M34"/>
    <mergeCell ref="B35:G35"/>
    <mergeCell ref="H35:M35"/>
    <mergeCell ref="B36:G37"/>
    <mergeCell ref="H36:M37"/>
  </mergeCells>
  <conditionalFormatting sqref="I21:Z21">
    <cfRule type="colorScale" priority="3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322" priority="18" operator="greaterThan">
      <formula>95%</formula>
    </cfRule>
    <cfRule type="cellIs" dxfId="321" priority="19" operator="greaterThanOrEqual">
      <formula>90%</formula>
    </cfRule>
    <cfRule type="cellIs" dxfId="320" priority="20" operator="lessThan">
      <formula>89.99%</formula>
    </cfRule>
  </conditionalFormatting>
  <conditionalFormatting sqref="AA13">
    <cfRule type="cellIs" dxfId="319" priority="15" operator="greaterThan">
      <formula>95%</formula>
    </cfRule>
    <cfRule type="cellIs" dxfId="318" priority="16" operator="greaterThanOrEqual">
      <formula>90%</formula>
    </cfRule>
    <cfRule type="cellIs" dxfId="317" priority="17" operator="lessThan">
      <formula>89.99%</formula>
    </cfRule>
  </conditionalFormatting>
  <conditionalFormatting sqref="AA16">
    <cfRule type="cellIs" dxfId="316" priority="12" operator="greaterThan">
      <formula>95%</formula>
    </cfRule>
    <cfRule type="cellIs" dxfId="315" priority="13" operator="greaterThanOrEqual">
      <formula>90%</formula>
    </cfRule>
    <cfRule type="cellIs" dxfId="314" priority="14" operator="lessThan">
      <formula>89.99%</formula>
    </cfRule>
  </conditionalFormatting>
  <conditionalFormatting sqref="AA19">
    <cfRule type="cellIs" dxfId="313" priority="9" operator="greaterThan">
      <formula>95%</formula>
    </cfRule>
    <cfRule type="cellIs" dxfId="312" priority="10" operator="greaterThanOrEqual">
      <formula>90%</formula>
    </cfRule>
    <cfRule type="cellIs" dxfId="311" priority="11" operator="lessThan">
      <formula>89.99%</formula>
    </cfRule>
  </conditionalFormatting>
  <conditionalFormatting sqref="AA22">
    <cfRule type="cellIs" dxfId="310" priority="1" operator="greaterThanOrEqual">
      <formula>100%</formula>
    </cfRule>
    <cfRule type="cellIs" dxfId="309" priority="2" operator="lessThan">
      <formula>99.99%</formula>
    </cfRule>
  </conditionalFormatting>
  <conditionalFormatting sqref="AA25">
    <cfRule type="cellIs" dxfId="308" priority="3" operator="greaterThan">
      <formula>95%</formula>
    </cfRule>
    <cfRule type="cellIs" dxfId="307" priority="4" operator="greaterThanOrEqual">
      <formula>90%</formula>
    </cfRule>
    <cfRule type="cellIs" dxfId="306" priority="5" operator="lessThan">
      <formula>89.99%</formula>
    </cfRule>
  </conditionalFormatting>
  <dataValidations count="1">
    <dataValidation showDropDown="1" showInputMessage="1" showErrorMessage="1" sqref="C21 G19:G23 G10:G11 G16:G17 G13:G14 G25:G26" xr:uid="{DCCB5C9E-054D-41CA-8D2F-CA7FD932D638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68AC2-DACE-477E-BB9F-5D6E42803B16}">
  <sheetPr>
    <tabColor rgb="FF0070C0"/>
  </sheetPr>
  <dimension ref="A1:AM38"/>
  <sheetViews>
    <sheetView showGridLines="0" topLeftCell="A4" zoomScale="59" zoomScaleNormal="59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6</v>
      </c>
      <c r="F2" s="129" t="s">
        <v>25</v>
      </c>
      <c r="G2" s="129"/>
      <c r="H2" s="22">
        <v>160655</v>
      </c>
      <c r="I2" s="21"/>
      <c r="J2" s="21"/>
      <c r="K2" s="21"/>
      <c r="L2" s="21"/>
      <c r="M2" s="21"/>
      <c r="N2" s="21"/>
      <c r="O2" s="21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12</v>
      </c>
      <c r="J10" s="24">
        <v>51</v>
      </c>
      <c r="K10" s="24">
        <v>93</v>
      </c>
      <c r="L10" s="24">
        <v>114</v>
      </c>
      <c r="M10" s="24">
        <v>105</v>
      </c>
      <c r="N10" s="24">
        <v>56</v>
      </c>
      <c r="O10" s="24">
        <v>88</v>
      </c>
      <c r="P10" s="24">
        <v>112</v>
      </c>
      <c r="Q10" s="24">
        <v>107</v>
      </c>
      <c r="R10" s="24">
        <v>53</v>
      </c>
      <c r="S10" s="24">
        <v>112</v>
      </c>
      <c r="T10" s="24">
        <v>122</v>
      </c>
      <c r="U10" s="24">
        <v>103</v>
      </c>
      <c r="V10" s="24">
        <v>114</v>
      </c>
      <c r="W10" s="24">
        <v>104</v>
      </c>
      <c r="X10" s="24">
        <v>108</v>
      </c>
      <c r="Y10" s="24">
        <v>130</v>
      </c>
      <c r="Z10" s="24">
        <v>103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f>12-0</f>
        <v>12</v>
      </c>
      <c r="J11" s="44">
        <f>51-0</f>
        <v>51</v>
      </c>
      <c r="K11" s="44">
        <f>93-0</f>
        <v>93</v>
      </c>
      <c r="L11" s="44">
        <f>114-0</f>
        <v>114</v>
      </c>
      <c r="M11" s="44">
        <f>105-0</f>
        <v>105</v>
      </c>
      <c r="N11" s="44">
        <f>56-0</f>
        <v>56</v>
      </c>
      <c r="O11" s="44">
        <f>88-0</f>
        <v>88</v>
      </c>
      <c r="P11" s="44">
        <f>112-0</f>
        <v>112</v>
      </c>
      <c r="Q11" s="44">
        <f>107-0</f>
        <v>107</v>
      </c>
      <c r="R11" s="44">
        <f>53-0</f>
        <v>53</v>
      </c>
      <c r="S11" s="44">
        <f>112-0</f>
        <v>112</v>
      </c>
      <c r="T11" s="44">
        <f>122-0</f>
        <v>122</v>
      </c>
      <c r="U11" s="44">
        <f>103-0</f>
        <v>103</v>
      </c>
      <c r="V11" s="44">
        <f>114-0</f>
        <v>114</v>
      </c>
      <c r="W11" s="44">
        <f>104-0</f>
        <v>104</v>
      </c>
      <c r="X11" s="44">
        <f>108-0</f>
        <v>108</v>
      </c>
      <c r="Y11" s="44">
        <f>130-0</f>
        <v>130</v>
      </c>
      <c r="Z11" s="44">
        <f>103-0</f>
        <v>103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12</v>
      </c>
      <c r="J13" s="24">
        <v>50</v>
      </c>
      <c r="K13" s="24">
        <v>93</v>
      </c>
      <c r="L13" s="24">
        <v>112</v>
      </c>
      <c r="M13" s="24">
        <v>105</v>
      </c>
      <c r="N13" s="24">
        <v>56</v>
      </c>
      <c r="O13" s="24">
        <v>88</v>
      </c>
      <c r="P13" s="24">
        <v>112</v>
      </c>
      <c r="Q13" s="24">
        <v>107</v>
      </c>
      <c r="R13" s="24">
        <v>53</v>
      </c>
      <c r="S13" s="24">
        <v>111</v>
      </c>
      <c r="T13" s="24">
        <v>122</v>
      </c>
      <c r="U13" s="24">
        <v>102</v>
      </c>
      <c r="V13" s="24">
        <v>114</v>
      </c>
      <c r="W13" s="24">
        <v>104</v>
      </c>
      <c r="X13" s="24">
        <v>108</v>
      </c>
      <c r="Y13" s="24">
        <v>128</v>
      </c>
      <c r="Z13" s="24">
        <v>63</v>
      </c>
      <c r="AA13" s="119">
        <f>IFERROR(SUM(I13:Z13)/SUM(I14:Z14),0)</f>
        <v>0.97213989330171902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12</v>
      </c>
      <c r="J14" s="44">
        <v>51</v>
      </c>
      <c r="K14" s="44">
        <v>93</v>
      </c>
      <c r="L14" s="44">
        <v>114</v>
      </c>
      <c r="M14" s="44">
        <v>105</v>
      </c>
      <c r="N14" s="44">
        <v>56</v>
      </c>
      <c r="O14" s="44">
        <v>88</v>
      </c>
      <c r="P14" s="44">
        <v>112</v>
      </c>
      <c r="Q14" s="44">
        <v>107</v>
      </c>
      <c r="R14" s="44">
        <v>53</v>
      </c>
      <c r="S14" s="44">
        <v>112</v>
      </c>
      <c r="T14" s="44">
        <v>122</v>
      </c>
      <c r="U14" s="44">
        <v>103</v>
      </c>
      <c r="V14" s="44">
        <v>114</v>
      </c>
      <c r="W14" s="44">
        <v>104</v>
      </c>
      <c r="X14" s="44">
        <v>108</v>
      </c>
      <c r="Y14" s="44">
        <v>130</v>
      </c>
      <c r="Z14" s="44">
        <v>103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12</v>
      </c>
      <c r="J16" s="24">
        <v>51</v>
      </c>
      <c r="K16" s="24">
        <v>93</v>
      </c>
      <c r="L16" s="24">
        <v>114</v>
      </c>
      <c r="M16" s="24">
        <v>105</v>
      </c>
      <c r="N16" s="24">
        <v>56</v>
      </c>
      <c r="O16" s="24">
        <v>88</v>
      </c>
      <c r="P16" s="24">
        <v>112</v>
      </c>
      <c r="Q16" s="24">
        <v>107</v>
      </c>
      <c r="R16" s="24">
        <v>53</v>
      </c>
      <c r="S16" s="24">
        <v>112</v>
      </c>
      <c r="T16" s="24">
        <v>122</v>
      </c>
      <c r="U16" s="24">
        <v>103</v>
      </c>
      <c r="V16" s="24">
        <v>114</v>
      </c>
      <c r="W16" s="24">
        <v>104</v>
      </c>
      <c r="X16" s="24">
        <v>102</v>
      </c>
      <c r="Y16" s="24">
        <v>130</v>
      </c>
      <c r="Z16" s="24">
        <v>103</v>
      </c>
      <c r="AA16" s="119">
        <f>IFERROR(SUM(I16:Z16)/SUM(I17:Z17),0)</f>
        <v>0.99644339063426202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12</v>
      </c>
      <c r="J17" s="44">
        <v>51</v>
      </c>
      <c r="K17" s="44">
        <v>93</v>
      </c>
      <c r="L17" s="44">
        <v>114</v>
      </c>
      <c r="M17" s="44">
        <v>105</v>
      </c>
      <c r="N17" s="44">
        <v>56</v>
      </c>
      <c r="O17" s="44">
        <v>88</v>
      </c>
      <c r="P17" s="44">
        <v>112</v>
      </c>
      <c r="Q17" s="44">
        <v>107</v>
      </c>
      <c r="R17" s="44">
        <v>53</v>
      </c>
      <c r="S17" s="44">
        <v>112</v>
      </c>
      <c r="T17" s="44">
        <v>122</v>
      </c>
      <c r="U17" s="44">
        <v>103</v>
      </c>
      <c r="V17" s="44">
        <v>114</v>
      </c>
      <c r="W17" s="44">
        <v>104</v>
      </c>
      <c r="X17" s="44">
        <v>108</v>
      </c>
      <c r="Y17" s="44">
        <v>130</v>
      </c>
      <c r="Z17" s="44">
        <v>103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0</v>
      </c>
      <c r="J19" s="24">
        <f>157-0</f>
        <v>157</v>
      </c>
      <c r="K19" s="24">
        <f>42-0</f>
        <v>42</v>
      </c>
      <c r="L19" s="24">
        <f>113-0</f>
        <v>113</v>
      </c>
      <c r="M19" s="24">
        <f>68-0</f>
        <v>68</v>
      </c>
      <c r="N19" s="24">
        <f>103-0</f>
        <v>103</v>
      </c>
      <c r="O19" s="24">
        <f>64-0</f>
        <v>64</v>
      </c>
      <c r="P19" s="24">
        <f>134-0</f>
        <v>134</v>
      </c>
      <c r="Q19" s="24">
        <f>75-0</f>
        <v>75</v>
      </c>
      <c r="R19" s="24">
        <v>90</v>
      </c>
      <c r="S19" s="24">
        <v>43</v>
      </c>
      <c r="T19" s="24">
        <v>174</v>
      </c>
      <c r="U19" s="24">
        <v>25</v>
      </c>
      <c r="V19" s="24">
        <v>141</v>
      </c>
      <c r="W19" s="24">
        <v>136</v>
      </c>
      <c r="X19" s="24">
        <v>140</v>
      </c>
      <c r="Y19" s="24">
        <v>81</v>
      </c>
      <c r="Z19" s="24">
        <v>52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0</v>
      </c>
      <c r="J20" s="44">
        <v>157</v>
      </c>
      <c r="K20" s="44">
        <v>42</v>
      </c>
      <c r="L20" s="44">
        <v>113</v>
      </c>
      <c r="M20" s="44">
        <v>68</v>
      </c>
      <c r="N20" s="44">
        <v>103</v>
      </c>
      <c r="O20" s="44">
        <v>64</v>
      </c>
      <c r="P20" s="44">
        <v>134</v>
      </c>
      <c r="Q20" s="44">
        <v>75</v>
      </c>
      <c r="R20" s="44">
        <v>90</v>
      </c>
      <c r="S20" s="44">
        <v>43</v>
      </c>
      <c r="T20" s="44">
        <v>174</v>
      </c>
      <c r="U20" s="44">
        <v>25</v>
      </c>
      <c r="V20" s="44">
        <v>141</v>
      </c>
      <c r="W20" s="44">
        <v>136</v>
      </c>
      <c r="X20" s="44">
        <v>140</v>
      </c>
      <c r="Y20" s="44">
        <v>81</v>
      </c>
      <c r="Z20" s="44">
        <v>52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312</v>
      </c>
      <c r="J22" s="24">
        <v>432</v>
      </c>
      <c r="K22" s="24">
        <v>328</v>
      </c>
      <c r="L22" s="24">
        <v>352</v>
      </c>
      <c r="M22" s="24">
        <v>396</v>
      </c>
      <c r="N22" s="24">
        <v>469</v>
      </c>
      <c r="O22" s="24">
        <v>413</v>
      </c>
      <c r="P22" s="24">
        <v>410</v>
      </c>
      <c r="Q22" s="24">
        <v>369</v>
      </c>
      <c r="R22" s="24">
        <v>404</v>
      </c>
      <c r="S22" s="24">
        <v>360</v>
      </c>
      <c r="T22" s="24">
        <v>409</v>
      </c>
      <c r="U22" s="24">
        <v>348</v>
      </c>
      <c r="V22" s="24">
        <v>415</v>
      </c>
      <c r="W22" s="24">
        <v>446</v>
      </c>
      <c r="X22" s="24">
        <v>506</v>
      </c>
      <c r="Y22" s="24">
        <v>458</v>
      </c>
      <c r="Z22" s="24">
        <v>406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312</v>
      </c>
      <c r="J23" s="44">
        <v>432</v>
      </c>
      <c r="K23" s="44">
        <v>328</v>
      </c>
      <c r="L23" s="44">
        <v>352</v>
      </c>
      <c r="M23" s="44">
        <v>396</v>
      </c>
      <c r="N23" s="44">
        <v>469</v>
      </c>
      <c r="O23" s="44">
        <v>413</v>
      </c>
      <c r="P23" s="44">
        <v>410</v>
      </c>
      <c r="Q23" s="44">
        <v>369</v>
      </c>
      <c r="R23" s="44">
        <v>404</v>
      </c>
      <c r="S23" s="44">
        <v>360</v>
      </c>
      <c r="T23" s="44">
        <v>409</v>
      </c>
      <c r="U23" s="44">
        <v>348</v>
      </c>
      <c r="V23" s="44">
        <v>415</v>
      </c>
      <c r="W23" s="44">
        <v>446</v>
      </c>
      <c r="X23" s="44">
        <v>506</v>
      </c>
      <c r="Y23" s="44">
        <v>458</v>
      </c>
      <c r="Z23" s="44">
        <v>406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38</v>
      </c>
      <c r="J25" s="24">
        <v>37</v>
      </c>
      <c r="K25" s="24">
        <v>145</v>
      </c>
      <c r="L25" s="24">
        <v>89</v>
      </c>
      <c r="M25" s="24">
        <v>63</v>
      </c>
      <c r="N25" s="24">
        <v>30</v>
      </c>
      <c r="O25" s="24">
        <v>120</v>
      </c>
      <c r="P25" s="24">
        <v>137</v>
      </c>
      <c r="Q25" s="24">
        <v>116</v>
      </c>
      <c r="R25" s="24">
        <v>55</v>
      </c>
      <c r="S25" s="24">
        <v>83</v>
      </c>
      <c r="T25" s="24">
        <v>125</v>
      </c>
      <c r="U25" s="24">
        <v>86</v>
      </c>
      <c r="V25" s="24">
        <v>74</v>
      </c>
      <c r="W25" s="24">
        <v>103</v>
      </c>
      <c r="X25" s="24">
        <v>80</v>
      </c>
      <c r="Y25" s="24">
        <v>129</v>
      </c>
      <c r="Z25" s="24">
        <v>104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f>38+0+0</f>
        <v>38</v>
      </c>
      <c r="J26" s="44">
        <f>36+1+0</f>
        <v>37</v>
      </c>
      <c r="K26" s="44">
        <f>140+5+0</f>
        <v>145</v>
      </c>
      <c r="L26" s="44">
        <f>86+3+0</f>
        <v>89</v>
      </c>
      <c r="M26" s="44">
        <f>59+4+0</f>
        <v>63</v>
      </c>
      <c r="N26" s="44">
        <f>24+6+0</f>
        <v>30</v>
      </c>
      <c r="O26" s="44">
        <f>115+5+0</f>
        <v>120</v>
      </c>
      <c r="P26" s="44">
        <f>137+0+0</f>
        <v>137</v>
      </c>
      <c r="Q26" s="44">
        <f>113+3+0</f>
        <v>116</v>
      </c>
      <c r="R26" s="44">
        <f>53+2+0</f>
        <v>55</v>
      </c>
      <c r="S26" s="44">
        <f>82+1+0</f>
        <v>83</v>
      </c>
      <c r="T26" s="44">
        <f>125+0+0</f>
        <v>125</v>
      </c>
      <c r="U26" s="44">
        <f>85+1+0</f>
        <v>86</v>
      </c>
      <c r="V26" s="44">
        <f>71+3+0</f>
        <v>74</v>
      </c>
      <c r="W26" s="44">
        <v>103</v>
      </c>
      <c r="X26" s="44">
        <f>80+0</f>
        <v>80</v>
      </c>
      <c r="Y26" s="44">
        <f>127+2+0</f>
        <v>129</v>
      </c>
      <c r="Z26" s="44">
        <f>102+2+0</f>
        <v>104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AA25:AA26"/>
    <mergeCell ref="I29:L29"/>
    <mergeCell ref="B34:M34"/>
    <mergeCell ref="B35:G35"/>
    <mergeCell ref="H35:M35"/>
    <mergeCell ref="B36:G37"/>
    <mergeCell ref="H36:M37"/>
    <mergeCell ref="G22:G23"/>
    <mergeCell ref="AA22:AA23"/>
    <mergeCell ref="A24:AA24"/>
    <mergeCell ref="A25:A26"/>
    <mergeCell ref="B25:B26"/>
    <mergeCell ref="C25:C26"/>
    <mergeCell ref="D25:D26"/>
    <mergeCell ref="E25:E26"/>
    <mergeCell ref="F25:F26"/>
    <mergeCell ref="G25:G26"/>
    <mergeCell ref="A22:A23"/>
    <mergeCell ref="B22:B23"/>
    <mergeCell ref="C22:C23"/>
    <mergeCell ref="D22:D23"/>
    <mergeCell ref="E22:E23"/>
    <mergeCell ref="F22:F23"/>
    <mergeCell ref="A18:AA18"/>
    <mergeCell ref="A19:A20"/>
    <mergeCell ref="B19:B20"/>
    <mergeCell ref="C19:C20"/>
    <mergeCell ref="D19:D20"/>
    <mergeCell ref="E19:E20"/>
    <mergeCell ref="F19:F20"/>
    <mergeCell ref="G19:G20"/>
    <mergeCell ref="AA19:AA20"/>
    <mergeCell ref="A15:AA15"/>
    <mergeCell ref="A16:A17"/>
    <mergeCell ref="B16:B17"/>
    <mergeCell ref="C16:C17"/>
    <mergeCell ref="D16:D17"/>
    <mergeCell ref="E16:E17"/>
    <mergeCell ref="F16:F17"/>
    <mergeCell ref="G16:G17"/>
    <mergeCell ref="AA16:AA17"/>
    <mergeCell ref="A10:A11"/>
    <mergeCell ref="B10:B11"/>
    <mergeCell ref="C10:C11"/>
    <mergeCell ref="D10:D11"/>
    <mergeCell ref="E10:E11"/>
    <mergeCell ref="A12:AA12"/>
    <mergeCell ref="A13:A14"/>
    <mergeCell ref="B13:B14"/>
    <mergeCell ref="C13:C14"/>
    <mergeCell ref="D13:D14"/>
    <mergeCell ref="E13:E14"/>
    <mergeCell ref="F13:F14"/>
    <mergeCell ref="G13:G14"/>
    <mergeCell ref="AA13:AA14"/>
    <mergeCell ref="AA10:AA11"/>
    <mergeCell ref="F10:F11"/>
    <mergeCell ref="AA6:AA9"/>
    <mergeCell ref="B7:D7"/>
    <mergeCell ref="A1:AA1"/>
    <mergeCell ref="F2:G2"/>
    <mergeCell ref="W2:AA2"/>
    <mergeCell ref="A4:AA4"/>
    <mergeCell ref="A5:AA5"/>
    <mergeCell ref="E7:H7"/>
    <mergeCell ref="I7:Z7"/>
    <mergeCell ref="B8:Z8"/>
    <mergeCell ref="A6:A9"/>
    <mergeCell ref="B6:H6"/>
    <mergeCell ref="I6:Z6"/>
    <mergeCell ref="G10:G11"/>
  </mergeCells>
  <conditionalFormatting sqref="I21:Z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305" priority="15" operator="greaterThan">
      <formula>95%</formula>
    </cfRule>
    <cfRule type="cellIs" dxfId="304" priority="16" operator="greaterThanOrEqual">
      <formula>90%</formula>
    </cfRule>
    <cfRule type="cellIs" dxfId="303" priority="17" operator="lessThan">
      <formula>89.99%</formula>
    </cfRule>
  </conditionalFormatting>
  <conditionalFormatting sqref="AA13">
    <cfRule type="cellIs" dxfId="302" priority="12" operator="greaterThan">
      <formula>95%</formula>
    </cfRule>
    <cfRule type="cellIs" dxfId="301" priority="13" operator="greaterThanOrEqual">
      <formula>90%</formula>
    </cfRule>
    <cfRule type="cellIs" dxfId="300" priority="14" operator="lessThan">
      <formula>89.99%</formula>
    </cfRule>
  </conditionalFormatting>
  <conditionalFormatting sqref="AA16">
    <cfRule type="cellIs" dxfId="299" priority="9" operator="greaterThan">
      <formula>95%</formula>
    </cfRule>
    <cfRule type="cellIs" dxfId="298" priority="10" operator="greaterThanOrEqual">
      <formula>90%</formula>
    </cfRule>
    <cfRule type="cellIs" dxfId="297" priority="11" operator="lessThan">
      <formula>89.99%</formula>
    </cfRule>
  </conditionalFormatting>
  <conditionalFormatting sqref="AA19">
    <cfRule type="cellIs" dxfId="296" priority="6" operator="greaterThan">
      <formula>95%</formula>
    </cfRule>
    <cfRule type="cellIs" dxfId="295" priority="7" operator="greaterThanOrEqual">
      <formula>90%</formula>
    </cfRule>
    <cfRule type="cellIs" dxfId="294" priority="8" operator="lessThan">
      <formula>89.99%</formula>
    </cfRule>
  </conditionalFormatting>
  <conditionalFormatting sqref="AA22">
    <cfRule type="cellIs" dxfId="293" priority="1" operator="greaterThanOrEqual">
      <formula>100%</formula>
    </cfRule>
    <cfRule type="cellIs" dxfId="292" priority="2" operator="lessThan">
      <formula>99.99%</formula>
    </cfRule>
  </conditionalFormatting>
  <conditionalFormatting sqref="AA25">
    <cfRule type="cellIs" dxfId="291" priority="3" operator="greaterThan">
      <formula>95%</formula>
    </cfRule>
    <cfRule type="cellIs" dxfId="290" priority="4" operator="greaterThanOrEqual">
      <formula>90%</formula>
    </cfRule>
    <cfRule type="cellIs" dxfId="289" priority="5" operator="lessThan">
      <formula>89.99%</formula>
    </cfRule>
  </conditionalFormatting>
  <dataValidations count="1">
    <dataValidation showDropDown="1" showInputMessage="1" showErrorMessage="1" sqref="C21 G19:G23 G10:G11 G16:G17 G13:G14 G25:G26" xr:uid="{5FA86F20-161C-4A56-89D1-F025780E6664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DB5E2-C7DB-4EE8-BA53-A14862C665D3}">
  <sheetPr>
    <tabColor rgb="FF0070C0"/>
  </sheetPr>
  <dimension ref="A1:AM38"/>
  <sheetViews>
    <sheetView showGridLines="0" topLeftCell="A3" zoomScale="62" zoomScaleNormal="62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6</v>
      </c>
      <c r="F2" s="129" t="s">
        <v>25</v>
      </c>
      <c r="G2" s="129"/>
      <c r="H2" s="22">
        <v>160656</v>
      </c>
      <c r="I2" s="21"/>
      <c r="J2" s="21"/>
      <c r="K2" s="21"/>
      <c r="L2" s="21"/>
      <c r="M2" s="21"/>
      <c r="N2" s="21"/>
      <c r="O2" s="21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13</v>
      </c>
      <c r="J10" s="24">
        <v>148</v>
      </c>
      <c r="K10" s="24">
        <v>69</v>
      </c>
      <c r="L10" s="24">
        <v>110</v>
      </c>
      <c r="M10" s="24">
        <v>135</v>
      </c>
      <c r="N10" s="24">
        <v>146</v>
      </c>
      <c r="O10" s="24">
        <v>144</v>
      </c>
      <c r="P10" s="24">
        <v>75</v>
      </c>
      <c r="Q10" s="24">
        <v>73</v>
      </c>
      <c r="R10" s="24">
        <v>131</v>
      </c>
      <c r="S10" s="24">
        <v>156</v>
      </c>
      <c r="T10" s="24">
        <v>111</v>
      </c>
      <c r="U10" s="24">
        <v>44</v>
      </c>
      <c r="V10" s="24">
        <v>169</v>
      </c>
      <c r="W10" s="24">
        <v>235</v>
      </c>
      <c r="X10" s="24">
        <v>169</v>
      </c>
      <c r="Y10" s="24">
        <v>228</v>
      </c>
      <c r="Z10" s="24">
        <v>56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13</v>
      </c>
      <c r="J11" s="44">
        <v>148</v>
      </c>
      <c r="K11" s="44">
        <v>69</v>
      </c>
      <c r="L11" s="44">
        <v>110</v>
      </c>
      <c r="M11" s="44">
        <v>135</v>
      </c>
      <c r="N11" s="44">
        <v>146</v>
      </c>
      <c r="O11" s="44">
        <f>148-4</f>
        <v>144</v>
      </c>
      <c r="P11" s="44">
        <v>75</v>
      </c>
      <c r="Q11" s="44">
        <v>73</v>
      </c>
      <c r="R11" s="44">
        <f>133-2</f>
        <v>131</v>
      </c>
      <c r="S11" s="44">
        <v>156</v>
      </c>
      <c r="T11" s="44">
        <v>111</v>
      </c>
      <c r="U11" s="44">
        <v>44</v>
      </c>
      <c r="V11" s="44">
        <f>171-2</f>
        <v>169</v>
      </c>
      <c r="W11" s="44">
        <f>236-1</f>
        <v>235</v>
      </c>
      <c r="X11" s="44">
        <f>169-0</f>
        <v>169</v>
      </c>
      <c r="Y11" s="44">
        <f>231-3</f>
        <v>228</v>
      </c>
      <c r="Z11" s="44">
        <f>56-0</f>
        <v>56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13</v>
      </c>
      <c r="J13" s="24">
        <v>148</v>
      </c>
      <c r="K13" s="24">
        <v>68</v>
      </c>
      <c r="L13" s="24">
        <v>109</v>
      </c>
      <c r="M13" s="24">
        <v>135</v>
      </c>
      <c r="N13" s="24">
        <v>146</v>
      </c>
      <c r="O13" s="24">
        <v>143</v>
      </c>
      <c r="P13" s="24">
        <v>75</v>
      </c>
      <c r="Q13" s="24">
        <v>73</v>
      </c>
      <c r="R13" s="24">
        <v>131</v>
      </c>
      <c r="S13" s="24">
        <v>153</v>
      </c>
      <c r="T13" s="24">
        <v>111</v>
      </c>
      <c r="U13" s="24">
        <v>44</v>
      </c>
      <c r="V13" s="24">
        <v>167</v>
      </c>
      <c r="W13" s="24">
        <v>232</v>
      </c>
      <c r="X13" s="24">
        <v>166</v>
      </c>
      <c r="Y13" s="24">
        <v>225</v>
      </c>
      <c r="Z13" s="24">
        <v>28</v>
      </c>
      <c r="AA13" s="119">
        <f>IFERROR(SUM(I13:Z13)/SUM(I14:Z14),0)</f>
        <v>0.97965641952983729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13</v>
      </c>
      <c r="J14" s="44">
        <v>148</v>
      </c>
      <c r="K14" s="44">
        <v>69</v>
      </c>
      <c r="L14" s="44">
        <v>110</v>
      </c>
      <c r="M14" s="44">
        <v>135</v>
      </c>
      <c r="N14" s="44">
        <v>146</v>
      </c>
      <c r="O14" s="44">
        <v>144</v>
      </c>
      <c r="P14" s="44">
        <v>75</v>
      </c>
      <c r="Q14" s="44">
        <v>73</v>
      </c>
      <c r="R14" s="44">
        <v>131</v>
      </c>
      <c r="S14" s="44">
        <v>156</v>
      </c>
      <c r="T14" s="44">
        <v>111</v>
      </c>
      <c r="U14" s="44">
        <v>44</v>
      </c>
      <c r="V14" s="44">
        <v>169</v>
      </c>
      <c r="W14" s="44">
        <v>235</v>
      </c>
      <c r="X14" s="44">
        <v>169</v>
      </c>
      <c r="Y14" s="44">
        <v>228</v>
      </c>
      <c r="Z14" s="44">
        <v>56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13</v>
      </c>
      <c r="J16" s="24">
        <v>148</v>
      </c>
      <c r="K16" s="24">
        <v>69</v>
      </c>
      <c r="L16" s="24">
        <v>110</v>
      </c>
      <c r="M16" s="24">
        <v>135</v>
      </c>
      <c r="N16" s="24">
        <v>146</v>
      </c>
      <c r="O16" s="24">
        <v>144</v>
      </c>
      <c r="P16" s="24">
        <v>75</v>
      </c>
      <c r="Q16" s="24">
        <v>73</v>
      </c>
      <c r="R16" s="24">
        <v>131</v>
      </c>
      <c r="S16" s="24">
        <v>156</v>
      </c>
      <c r="T16" s="24">
        <v>111</v>
      </c>
      <c r="U16" s="24">
        <v>44</v>
      </c>
      <c r="V16" s="24">
        <v>169</v>
      </c>
      <c r="W16" s="24">
        <v>235</v>
      </c>
      <c r="X16" s="24">
        <v>169</v>
      </c>
      <c r="Y16" s="24">
        <v>228</v>
      </c>
      <c r="Z16" s="24">
        <v>56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13</v>
      </c>
      <c r="J17" s="44">
        <v>148</v>
      </c>
      <c r="K17" s="44">
        <v>69</v>
      </c>
      <c r="L17" s="44">
        <v>110</v>
      </c>
      <c r="M17" s="44">
        <v>135</v>
      </c>
      <c r="N17" s="44">
        <v>146</v>
      </c>
      <c r="O17" s="44">
        <v>144</v>
      </c>
      <c r="P17" s="44">
        <v>75</v>
      </c>
      <c r="Q17" s="44">
        <v>73</v>
      </c>
      <c r="R17" s="44">
        <v>131</v>
      </c>
      <c r="S17" s="44">
        <v>156</v>
      </c>
      <c r="T17" s="44">
        <v>111</v>
      </c>
      <c r="U17" s="44">
        <v>44</v>
      </c>
      <c r="V17" s="44">
        <v>169</v>
      </c>
      <c r="W17" s="44">
        <v>235</v>
      </c>
      <c r="X17" s="44">
        <v>169</v>
      </c>
      <c r="Y17" s="44">
        <v>228</v>
      </c>
      <c r="Z17" s="44">
        <v>56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0</v>
      </c>
      <c r="J19" s="24">
        <v>290</v>
      </c>
      <c r="K19" s="24">
        <v>127</v>
      </c>
      <c r="L19" s="24">
        <v>73</v>
      </c>
      <c r="M19" s="24">
        <v>136</v>
      </c>
      <c r="N19" s="24">
        <v>81</v>
      </c>
      <c r="O19" s="24">
        <v>75</v>
      </c>
      <c r="P19" s="24">
        <v>239</v>
      </c>
      <c r="Q19" s="24">
        <v>72</v>
      </c>
      <c r="R19" s="24">
        <v>56</v>
      </c>
      <c r="S19" s="24">
        <v>107</v>
      </c>
      <c r="T19" s="24">
        <v>249</v>
      </c>
      <c r="U19" s="24">
        <v>38</v>
      </c>
      <c r="V19" s="24">
        <v>46</v>
      </c>
      <c r="W19" s="24">
        <v>182</v>
      </c>
      <c r="X19" s="24">
        <v>257</v>
      </c>
      <c r="Y19" s="24">
        <v>177</v>
      </c>
      <c r="Z19" s="24">
        <v>113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0</v>
      </c>
      <c r="J20" s="44">
        <v>290</v>
      </c>
      <c r="K20" s="44">
        <v>127</v>
      </c>
      <c r="L20" s="44">
        <v>73</v>
      </c>
      <c r="M20" s="44">
        <v>136</v>
      </c>
      <c r="N20" s="44">
        <v>81</v>
      </c>
      <c r="O20" s="44">
        <v>75</v>
      </c>
      <c r="P20" s="44">
        <v>239</v>
      </c>
      <c r="Q20" s="44">
        <v>72</v>
      </c>
      <c r="R20" s="44">
        <v>56</v>
      </c>
      <c r="S20" s="44">
        <v>107</v>
      </c>
      <c r="T20" s="44">
        <v>249</v>
      </c>
      <c r="U20" s="44">
        <v>38</v>
      </c>
      <c r="V20" s="44">
        <v>46</v>
      </c>
      <c r="W20" s="44">
        <v>182</v>
      </c>
      <c r="X20" s="44">
        <v>257</v>
      </c>
      <c r="Y20" s="44">
        <v>177</v>
      </c>
      <c r="Z20" s="44">
        <v>113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568</v>
      </c>
      <c r="J22" s="24">
        <v>622</v>
      </c>
      <c r="K22" s="24">
        <v>736</v>
      </c>
      <c r="L22" s="24">
        <v>690</v>
      </c>
      <c r="M22" s="24">
        <v>578</v>
      </c>
      <c r="N22" s="24">
        <v>551</v>
      </c>
      <c r="O22" s="24">
        <v>512</v>
      </c>
      <c r="P22" s="24">
        <v>638</v>
      </c>
      <c r="Q22" s="24">
        <v>600</v>
      </c>
      <c r="R22" s="24">
        <v>532</v>
      </c>
      <c r="S22" s="24">
        <v>494</v>
      </c>
      <c r="T22" s="24">
        <v>603</v>
      </c>
      <c r="U22" s="24">
        <v>583</v>
      </c>
      <c r="V22" s="24">
        <v>505</v>
      </c>
      <c r="W22" s="24">
        <v>554</v>
      </c>
      <c r="X22" s="24">
        <v>673</v>
      </c>
      <c r="Y22" s="24">
        <v>729</v>
      </c>
      <c r="Z22" s="24">
        <v>798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568</v>
      </c>
      <c r="J23" s="44">
        <v>622</v>
      </c>
      <c r="K23" s="44">
        <v>736</v>
      </c>
      <c r="L23" s="44">
        <v>690</v>
      </c>
      <c r="M23" s="44">
        <v>578</v>
      </c>
      <c r="N23" s="44">
        <v>551</v>
      </c>
      <c r="O23" s="44">
        <v>512</v>
      </c>
      <c r="P23" s="44">
        <v>638</v>
      </c>
      <c r="Q23" s="44">
        <v>600</v>
      </c>
      <c r="R23" s="44">
        <v>532</v>
      </c>
      <c r="S23" s="44">
        <v>494</v>
      </c>
      <c r="T23" s="44">
        <v>603</v>
      </c>
      <c r="U23" s="44">
        <v>583</v>
      </c>
      <c r="V23" s="44">
        <v>505</v>
      </c>
      <c r="W23" s="44">
        <v>554</v>
      </c>
      <c r="X23" s="44">
        <v>673</v>
      </c>
      <c r="Y23" s="44">
        <v>729</v>
      </c>
      <c r="Z23" s="44">
        <v>798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34</v>
      </c>
      <c r="J25" s="24">
        <v>224</v>
      </c>
      <c r="K25" s="24">
        <v>8</v>
      </c>
      <c r="L25" s="24">
        <v>119</v>
      </c>
      <c r="M25" s="24">
        <v>162</v>
      </c>
      <c r="N25" s="24">
        <v>104</v>
      </c>
      <c r="O25" s="24">
        <v>114</v>
      </c>
      <c r="P25" s="24">
        <v>113</v>
      </c>
      <c r="Q25" s="24">
        <v>110</v>
      </c>
      <c r="R25" s="24">
        <v>124</v>
      </c>
      <c r="S25" s="24">
        <v>142</v>
      </c>
      <c r="T25" s="24">
        <v>140</v>
      </c>
      <c r="U25" s="24">
        <v>58</v>
      </c>
      <c r="V25" s="24">
        <v>124</v>
      </c>
      <c r="W25" s="24">
        <v>132</v>
      </c>
      <c r="X25" s="24">
        <v>138</v>
      </c>
      <c r="Y25" s="24">
        <v>121</v>
      </c>
      <c r="Z25" s="24">
        <v>44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34</v>
      </c>
      <c r="J26" s="44">
        <v>224</v>
      </c>
      <c r="K26" s="44">
        <v>8</v>
      </c>
      <c r="L26" s="44">
        <v>119</v>
      </c>
      <c r="M26" s="44">
        <v>162</v>
      </c>
      <c r="N26" s="44">
        <v>104</v>
      </c>
      <c r="O26" s="44">
        <v>114</v>
      </c>
      <c r="P26" s="44">
        <v>113</v>
      </c>
      <c r="Q26" s="44">
        <v>110</v>
      </c>
      <c r="R26" s="44">
        <f>114+10+0</f>
        <v>124</v>
      </c>
      <c r="S26" s="44">
        <f>131+11+0</f>
        <v>142</v>
      </c>
      <c r="T26" s="44">
        <f>134+6+0</f>
        <v>140</v>
      </c>
      <c r="U26" s="44">
        <f>51+7+0</f>
        <v>58</v>
      </c>
      <c r="V26" s="44">
        <f>120+4+0</f>
        <v>124</v>
      </c>
      <c r="W26" s="44">
        <f>127+5</f>
        <v>132</v>
      </c>
      <c r="X26" s="44">
        <f>132+6</f>
        <v>138</v>
      </c>
      <c r="Y26" s="44">
        <f>116+5+0</f>
        <v>121</v>
      </c>
      <c r="Z26" s="44">
        <f>43+1+0</f>
        <v>44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AA25:AA26"/>
    <mergeCell ref="I29:L29"/>
    <mergeCell ref="B34:M34"/>
    <mergeCell ref="B35:G35"/>
    <mergeCell ref="H35:M35"/>
    <mergeCell ref="B36:G37"/>
    <mergeCell ref="H36:M37"/>
    <mergeCell ref="G22:G23"/>
    <mergeCell ref="AA22:AA23"/>
    <mergeCell ref="A24:AA24"/>
    <mergeCell ref="A25:A26"/>
    <mergeCell ref="B25:B26"/>
    <mergeCell ref="C25:C26"/>
    <mergeCell ref="D25:D26"/>
    <mergeCell ref="E25:E26"/>
    <mergeCell ref="F25:F26"/>
    <mergeCell ref="G25:G26"/>
    <mergeCell ref="A22:A23"/>
    <mergeCell ref="B22:B23"/>
    <mergeCell ref="C22:C23"/>
    <mergeCell ref="D22:D23"/>
    <mergeCell ref="E22:E23"/>
    <mergeCell ref="F22:F23"/>
    <mergeCell ref="A18:AA18"/>
    <mergeCell ref="A19:A20"/>
    <mergeCell ref="B19:B20"/>
    <mergeCell ref="C19:C20"/>
    <mergeCell ref="D19:D20"/>
    <mergeCell ref="E19:E20"/>
    <mergeCell ref="F19:F20"/>
    <mergeCell ref="G19:G20"/>
    <mergeCell ref="AA19:AA20"/>
    <mergeCell ref="A15:AA15"/>
    <mergeCell ref="A16:A17"/>
    <mergeCell ref="B16:B17"/>
    <mergeCell ref="C16:C17"/>
    <mergeCell ref="D16:D17"/>
    <mergeCell ref="E16:E17"/>
    <mergeCell ref="F16:F17"/>
    <mergeCell ref="G16:G17"/>
    <mergeCell ref="AA16:AA17"/>
    <mergeCell ref="A10:A11"/>
    <mergeCell ref="B10:B11"/>
    <mergeCell ref="C10:C11"/>
    <mergeCell ref="D10:D11"/>
    <mergeCell ref="E10:E11"/>
    <mergeCell ref="A12:AA12"/>
    <mergeCell ref="A13:A14"/>
    <mergeCell ref="B13:B14"/>
    <mergeCell ref="C13:C14"/>
    <mergeCell ref="D13:D14"/>
    <mergeCell ref="E13:E14"/>
    <mergeCell ref="F13:F14"/>
    <mergeCell ref="G13:G14"/>
    <mergeCell ref="AA13:AA14"/>
    <mergeCell ref="AA10:AA11"/>
    <mergeCell ref="F10:F11"/>
    <mergeCell ref="AA6:AA9"/>
    <mergeCell ref="B7:D7"/>
    <mergeCell ref="A1:AA1"/>
    <mergeCell ref="F2:G2"/>
    <mergeCell ref="W2:AA2"/>
    <mergeCell ref="A4:AA4"/>
    <mergeCell ref="A5:AA5"/>
    <mergeCell ref="E7:H7"/>
    <mergeCell ref="I7:Z7"/>
    <mergeCell ref="B8:Z8"/>
    <mergeCell ref="A6:A9"/>
    <mergeCell ref="B6:H6"/>
    <mergeCell ref="I6:Z6"/>
    <mergeCell ref="G10:G11"/>
  </mergeCells>
  <conditionalFormatting sqref="I21:Z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288" priority="15" operator="greaterThan">
      <formula>95%</formula>
    </cfRule>
    <cfRule type="cellIs" dxfId="287" priority="16" operator="greaterThanOrEqual">
      <formula>90%</formula>
    </cfRule>
    <cfRule type="cellIs" dxfId="286" priority="17" operator="lessThan">
      <formula>89.99%</formula>
    </cfRule>
  </conditionalFormatting>
  <conditionalFormatting sqref="AA13">
    <cfRule type="cellIs" dxfId="285" priority="12" operator="greaterThan">
      <formula>95%</formula>
    </cfRule>
    <cfRule type="cellIs" dxfId="284" priority="13" operator="greaterThanOrEqual">
      <formula>90%</formula>
    </cfRule>
    <cfRule type="cellIs" dxfId="283" priority="14" operator="lessThan">
      <formula>89.99%</formula>
    </cfRule>
  </conditionalFormatting>
  <conditionalFormatting sqref="AA16">
    <cfRule type="cellIs" dxfId="282" priority="9" operator="greaterThan">
      <formula>95%</formula>
    </cfRule>
    <cfRule type="cellIs" dxfId="281" priority="10" operator="greaterThanOrEqual">
      <formula>90%</formula>
    </cfRule>
    <cfRule type="cellIs" dxfId="280" priority="11" operator="lessThan">
      <formula>89.99%</formula>
    </cfRule>
  </conditionalFormatting>
  <conditionalFormatting sqref="AA19">
    <cfRule type="cellIs" dxfId="279" priority="6" operator="greaterThan">
      <formula>95%</formula>
    </cfRule>
    <cfRule type="cellIs" dxfId="278" priority="7" operator="greaterThanOrEqual">
      <formula>90%</formula>
    </cfRule>
    <cfRule type="cellIs" dxfId="277" priority="8" operator="lessThan">
      <formula>89.99%</formula>
    </cfRule>
  </conditionalFormatting>
  <conditionalFormatting sqref="AA22">
    <cfRule type="cellIs" dxfId="276" priority="1" operator="greaterThanOrEqual">
      <formula>100%</formula>
    </cfRule>
    <cfRule type="cellIs" dxfId="275" priority="2" operator="lessThan">
      <formula>99.99%</formula>
    </cfRule>
  </conditionalFormatting>
  <conditionalFormatting sqref="AA25">
    <cfRule type="cellIs" dxfId="274" priority="3" operator="greaterThan">
      <formula>95%</formula>
    </cfRule>
    <cfRule type="cellIs" dxfId="273" priority="4" operator="greaterThanOrEqual">
      <formula>90%</formula>
    </cfRule>
    <cfRule type="cellIs" dxfId="272" priority="5" operator="lessThan">
      <formula>89.99%</formula>
    </cfRule>
  </conditionalFormatting>
  <dataValidations count="1">
    <dataValidation showDropDown="1" showInputMessage="1" showErrorMessage="1" sqref="C21 G19:G23 G10:G11 G16:G17 G13:G14 G25:G26" xr:uid="{D8626631-76F2-459C-8DF2-8D2B6CA19A64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69C2"/>
  </sheetPr>
  <dimension ref="A1:AM38"/>
  <sheetViews>
    <sheetView showGridLines="0" topLeftCell="A4" zoomScale="66" zoomScaleNormal="66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7</v>
      </c>
      <c r="F2" s="129" t="s">
        <v>25</v>
      </c>
      <c r="G2" s="129"/>
      <c r="H2" s="22">
        <v>160751</v>
      </c>
      <c r="I2" s="21"/>
      <c r="J2" s="21"/>
      <c r="K2" s="21"/>
      <c r="L2" s="21"/>
      <c r="M2" s="21"/>
      <c r="N2" s="21"/>
      <c r="O2" s="21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60</v>
      </c>
      <c r="J10" s="24">
        <v>320</v>
      </c>
      <c r="K10" s="24">
        <v>257</v>
      </c>
      <c r="L10" s="24">
        <v>350</v>
      </c>
      <c r="M10" s="24">
        <v>346</v>
      </c>
      <c r="N10" s="24">
        <v>375</v>
      </c>
      <c r="O10" s="24">
        <v>340</v>
      </c>
      <c r="P10" s="24">
        <v>367</v>
      </c>
      <c r="Q10" s="24">
        <v>360</v>
      </c>
      <c r="R10" s="24">
        <v>283</v>
      </c>
      <c r="S10" s="24">
        <v>375</v>
      </c>
      <c r="T10" s="24">
        <v>409</v>
      </c>
      <c r="U10" s="24">
        <v>391</v>
      </c>
      <c r="V10" s="24">
        <v>529</v>
      </c>
      <c r="W10" s="24">
        <v>557</v>
      </c>
      <c r="X10" s="24">
        <v>574</v>
      </c>
      <c r="Y10" s="24">
        <v>567</v>
      </c>
      <c r="Z10" s="24">
        <v>443</v>
      </c>
      <c r="AA10" s="119">
        <f>IFERROR(SUM(I10:Z10)/SUM(I11:Z11),0)</f>
        <v>0.99067164179104472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62</v>
      </c>
      <c r="J11" s="44">
        <v>322</v>
      </c>
      <c r="K11" s="44">
        <v>257</v>
      </c>
      <c r="L11" s="44">
        <v>352</v>
      </c>
      <c r="M11" s="44">
        <v>348</v>
      </c>
      <c r="N11" s="44">
        <v>377</v>
      </c>
      <c r="O11" s="44">
        <v>346</v>
      </c>
      <c r="P11" s="44">
        <v>373</v>
      </c>
      <c r="Q11" s="44">
        <v>365</v>
      </c>
      <c r="R11" s="44">
        <v>286</v>
      </c>
      <c r="S11" s="44">
        <v>378</v>
      </c>
      <c r="T11" s="44">
        <v>412</v>
      </c>
      <c r="U11" s="44">
        <v>393</v>
      </c>
      <c r="V11" s="44">
        <v>530</v>
      </c>
      <c r="W11" s="44">
        <v>560</v>
      </c>
      <c r="X11" s="44">
        <v>585</v>
      </c>
      <c r="Y11" s="44">
        <v>572</v>
      </c>
      <c r="Z11" s="44">
        <v>450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60</v>
      </c>
      <c r="J13" s="24">
        <v>320</v>
      </c>
      <c r="K13" s="24">
        <v>256</v>
      </c>
      <c r="L13" s="24">
        <v>348</v>
      </c>
      <c r="M13" s="24">
        <v>340</v>
      </c>
      <c r="N13" s="24">
        <v>372</v>
      </c>
      <c r="O13" s="24">
        <v>338</v>
      </c>
      <c r="P13" s="24">
        <v>361</v>
      </c>
      <c r="Q13" s="24">
        <v>354</v>
      </c>
      <c r="R13" s="24">
        <v>281</v>
      </c>
      <c r="S13" s="24">
        <v>374</v>
      </c>
      <c r="T13" s="24">
        <v>406</v>
      </c>
      <c r="U13" s="24">
        <v>389</v>
      </c>
      <c r="V13" s="24">
        <v>526</v>
      </c>
      <c r="W13" s="24">
        <v>551</v>
      </c>
      <c r="X13" s="24">
        <v>565</v>
      </c>
      <c r="Y13" s="24">
        <v>559</v>
      </c>
      <c r="Z13" s="24">
        <v>434</v>
      </c>
      <c r="AA13" s="119">
        <f>IFERROR(SUM(I13:Z13)/SUM(I14:Z14),0)</f>
        <v>0.99000434593654929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60</v>
      </c>
      <c r="J14" s="44">
        <v>320</v>
      </c>
      <c r="K14" s="44">
        <v>257</v>
      </c>
      <c r="L14" s="44">
        <v>350</v>
      </c>
      <c r="M14" s="44">
        <v>346</v>
      </c>
      <c r="N14" s="44">
        <v>375</v>
      </c>
      <c r="O14" s="44">
        <v>340</v>
      </c>
      <c r="P14" s="44">
        <v>367</v>
      </c>
      <c r="Q14" s="44">
        <v>360</v>
      </c>
      <c r="R14" s="44">
        <v>283</v>
      </c>
      <c r="S14" s="44">
        <v>375</v>
      </c>
      <c r="T14" s="44">
        <v>409</v>
      </c>
      <c r="U14" s="44">
        <v>391</v>
      </c>
      <c r="V14" s="44">
        <v>529</v>
      </c>
      <c r="W14" s="44">
        <v>557</v>
      </c>
      <c r="X14" s="44">
        <v>574</v>
      </c>
      <c r="Y14" s="44">
        <v>567</v>
      </c>
      <c r="Z14" s="44">
        <v>443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60</v>
      </c>
      <c r="J16" s="24">
        <v>320</v>
      </c>
      <c r="K16" s="24">
        <v>256</v>
      </c>
      <c r="L16" s="24">
        <v>348</v>
      </c>
      <c r="M16" s="24">
        <v>340</v>
      </c>
      <c r="N16" s="24">
        <v>372</v>
      </c>
      <c r="O16" s="24">
        <v>338</v>
      </c>
      <c r="P16" s="24">
        <v>361</v>
      </c>
      <c r="Q16" s="24">
        <v>354</v>
      </c>
      <c r="R16" s="24">
        <v>281</v>
      </c>
      <c r="S16" s="24">
        <v>374</v>
      </c>
      <c r="T16" s="24">
        <v>406</v>
      </c>
      <c r="U16" s="24">
        <v>389</v>
      </c>
      <c r="V16" s="24">
        <v>526</v>
      </c>
      <c r="W16" s="24">
        <v>551</v>
      </c>
      <c r="X16" s="24">
        <v>565</v>
      </c>
      <c r="Y16" s="24">
        <v>559</v>
      </c>
      <c r="Z16" s="24">
        <v>434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60</v>
      </c>
      <c r="J17" s="44">
        <v>320</v>
      </c>
      <c r="K17" s="44">
        <v>256</v>
      </c>
      <c r="L17" s="44">
        <v>348</v>
      </c>
      <c r="M17" s="44">
        <v>340</v>
      </c>
      <c r="N17" s="44">
        <v>372</v>
      </c>
      <c r="O17" s="44">
        <v>338</v>
      </c>
      <c r="P17" s="44">
        <v>361</v>
      </c>
      <c r="Q17" s="44">
        <v>354</v>
      </c>
      <c r="R17" s="44">
        <v>281</v>
      </c>
      <c r="S17" s="44">
        <v>374</v>
      </c>
      <c r="T17" s="44">
        <v>406</v>
      </c>
      <c r="U17" s="44">
        <v>389</v>
      </c>
      <c r="V17" s="44">
        <v>526</v>
      </c>
      <c r="W17" s="44">
        <v>551</v>
      </c>
      <c r="X17" s="44">
        <v>565</v>
      </c>
      <c r="Y17" s="44">
        <v>559</v>
      </c>
      <c r="Z17" s="44">
        <v>434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173</v>
      </c>
      <c r="J19" s="24">
        <v>277</v>
      </c>
      <c r="K19" s="24">
        <v>316</v>
      </c>
      <c r="L19" s="24">
        <v>320</v>
      </c>
      <c r="M19" s="24">
        <v>281</v>
      </c>
      <c r="N19" s="24">
        <v>439</v>
      </c>
      <c r="O19" s="24">
        <v>340</v>
      </c>
      <c r="P19" s="24">
        <v>267</v>
      </c>
      <c r="Q19" s="24">
        <v>439</v>
      </c>
      <c r="R19" s="24">
        <v>279</v>
      </c>
      <c r="S19" s="24">
        <v>374</v>
      </c>
      <c r="T19" s="24">
        <v>305</v>
      </c>
      <c r="U19" s="24">
        <v>410</v>
      </c>
      <c r="V19" s="24">
        <v>430</v>
      </c>
      <c r="W19" s="24">
        <v>430</v>
      </c>
      <c r="X19" s="24">
        <v>630</v>
      </c>
      <c r="Y19" s="24">
        <v>211</v>
      </c>
      <c r="Z19" s="24">
        <v>408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173</v>
      </c>
      <c r="J20" s="44">
        <v>277</v>
      </c>
      <c r="K20" s="44">
        <v>316</v>
      </c>
      <c r="L20" s="44">
        <v>320</v>
      </c>
      <c r="M20" s="44">
        <v>281</v>
      </c>
      <c r="N20" s="44">
        <v>439</v>
      </c>
      <c r="O20" s="44">
        <v>340</v>
      </c>
      <c r="P20" s="44">
        <v>267</v>
      </c>
      <c r="Q20" s="44">
        <v>439</v>
      </c>
      <c r="R20" s="44">
        <v>279</v>
      </c>
      <c r="S20" s="44">
        <v>374</v>
      </c>
      <c r="T20" s="44">
        <v>305</v>
      </c>
      <c r="U20" s="44">
        <v>410</v>
      </c>
      <c r="V20" s="44">
        <v>430</v>
      </c>
      <c r="W20" s="44">
        <v>430</v>
      </c>
      <c r="X20" s="44">
        <v>630</v>
      </c>
      <c r="Y20" s="44">
        <v>211</v>
      </c>
      <c r="Z20" s="44">
        <v>408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1178</v>
      </c>
      <c r="J22" s="24">
        <v>1120</v>
      </c>
      <c r="K22" s="24">
        <v>1147</v>
      </c>
      <c r="L22" s="24">
        <v>1097</v>
      </c>
      <c r="M22" s="24">
        <v>1065</v>
      </c>
      <c r="N22" s="24">
        <v>1138</v>
      </c>
      <c r="O22" s="24">
        <v>1103</v>
      </c>
      <c r="P22" s="24">
        <v>1051</v>
      </c>
      <c r="Q22" s="24">
        <v>1125</v>
      </c>
      <c r="R22" s="24">
        <v>1092</v>
      </c>
      <c r="S22" s="24">
        <v>1157</v>
      </c>
      <c r="T22" s="24">
        <v>1005</v>
      </c>
      <c r="U22" s="24">
        <v>1071</v>
      </c>
      <c r="V22" s="24">
        <v>1169</v>
      </c>
      <c r="W22" s="24">
        <v>1169</v>
      </c>
      <c r="X22" s="24">
        <v>1279</v>
      </c>
      <c r="Y22" s="24">
        <v>907</v>
      </c>
      <c r="Z22" s="24">
        <v>882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1178</v>
      </c>
      <c r="J23" s="44">
        <v>1120</v>
      </c>
      <c r="K23" s="44">
        <v>1147</v>
      </c>
      <c r="L23" s="44">
        <v>1097</v>
      </c>
      <c r="M23" s="44">
        <v>1065</v>
      </c>
      <c r="N23" s="44">
        <v>1138</v>
      </c>
      <c r="O23" s="44">
        <v>1103</v>
      </c>
      <c r="P23" s="44">
        <v>1051</v>
      </c>
      <c r="Q23" s="44">
        <v>1125</v>
      </c>
      <c r="R23" s="44">
        <v>1092</v>
      </c>
      <c r="S23" s="44">
        <v>1157</v>
      </c>
      <c r="T23" s="44">
        <v>1005</v>
      </c>
      <c r="U23" s="44">
        <v>1071</v>
      </c>
      <c r="V23" s="44">
        <v>1169</v>
      </c>
      <c r="W23" s="44">
        <v>1169</v>
      </c>
      <c r="X23" s="44">
        <v>1279</v>
      </c>
      <c r="Y23" s="44">
        <v>907</v>
      </c>
      <c r="Z23" s="44">
        <v>882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83</v>
      </c>
      <c r="J25" s="24">
        <v>335</v>
      </c>
      <c r="K25" s="24">
        <v>287</v>
      </c>
      <c r="L25" s="24">
        <v>370</v>
      </c>
      <c r="M25" s="24">
        <v>312</v>
      </c>
      <c r="N25" s="24">
        <v>365</v>
      </c>
      <c r="O25" s="24">
        <v>375</v>
      </c>
      <c r="P25" s="24">
        <v>319</v>
      </c>
      <c r="Q25" s="24">
        <v>365</v>
      </c>
      <c r="R25" s="24">
        <v>312</v>
      </c>
      <c r="S25" s="24">
        <v>345</v>
      </c>
      <c r="T25" s="24">
        <v>418</v>
      </c>
      <c r="U25" s="24">
        <v>344</v>
      </c>
      <c r="V25" s="24">
        <v>332</v>
      </c>
      <c r="W25" s="24">
        <v>517</v>
      </c>
      <c r="X25" s="24">
        <v>553</v>
      </c>
      <c r="Y25" s="24">
        <v>544</v>
      </c>
      <c r="Z25" s="24">
        <v>433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83</v>
      </c>
      <c r="J26" s="44">
        <v>335</v>
      </c>
      <c r="K26" s="44">
        <v>287</v>
      </c>
      <c r="L26" s="44">
        <v>370</v>
      </c>
      <c r="M26" s="44">
        <v>312</v>
      </c>
      <c r="N26" s="44">
        <v>365</v>
      </c>
      <c r="O26" s="44">
        <v>375</v>
      </c>
      <c r="P26" s="44">
        <v>319</v>
      </c>
      <c r="Q26" s="44">
        <v>365</v>
      </c>
      <c r="R26" s="44">
        <v>312</v>
      </c>
      <c r="S26" s="44">
        <v>345</v>
      </c>
      <c r="T26" s="44">
        <v>418</v>
      </c>
      <c r="U26" s="44">
        <v>344</v>
      </c>
      <c r="V26" s="44">
        <v>332</v>
      </c>
      <c r="W26" s="44">
        <v>517</v>
      </c>
      <c r="X26" s="44">
        <v>553</v>
      </c>
      <c r="Y26" s="44">
        <v>544</v>
      </c>
      <c r="Z26" s="44">
        <v>433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G25:G26"/>
    <mergeCell ref="AA25:AA26"/>
    <mergeCell ref="A24:AA24"/>
    <mergeCell ref="A25:A26"/>
    <mergeCell ref="B25:B26"/>
    <mergeCell ref="C25:C26"/>
    <mergeCell ref="D25:D26"/>
    <mergeCell ref="E25:E26"/>
    <mergeCell ref="F25:F26"/>
    <mergeCell ref="E22:E23"/>
    <mergeCell ref="F19:F20"/>
    <mergeCell ref="G19:G20"/>
    <mergeCell ref="AA19:AA20"/>
    <mergeCell ref="A19:A20"/>
    <mergeCell ref="B19:B20"/>
    <mergeCell ref="C19:C20"/>
    <mergeCell ref="D19:D20"/>
    <mergeCell ref="E19:E20"/>
    <mergeCell ref="F22:F23"/>
    <mergeCell ref="G22:G23"/>
    <mergeCell ref="AA22:AA23"/>
    <mergeCell ref="A22:A23"/>
    <mergeCell ref="B22:B23"/>
    <mergeCell ref="C22:C23"/>
    <mergeCell ref="D22:D23"/>
    <mergeCell ref="F16:F17"/>
    <mergeCell ref="G16:G17"/>
    <mergeCell ref="AA16:AA17"/>
    <mergeCell ref="A18:AA18"/>
    <mergeCell ref="A16:A17"/>
    <mergeCell ref="B16:B17"/>
    <mergeCell ref="C16:C17"/>
    <mergeCell ref="D16:D17"/>
    <mergeCell ref="E16:E17"/>
    <mergeCell ref="F13:F14"/>
    <mergeCell ref="G13:G14"/>
    <mergeCell ref="AA13:AA14"/>
    <mergeCell ref="A15:AA15"/>
    <mergeCell ref="A13:A14"/>
    <mergeCell ref="B13:B14"/>
    <mergeCell ref="C13:C14"/>
    <mergeCell ref="D13:D14"/>
    <mergeCell ref="E13:E14"/>
    <mergeCell ref="A12:AA12"/>
    <mergeCell ref="A10:A11"/>
    <mergeCell ref="B10:B11"/>
    <mergeCell ref="C10:C11"/>
    <mergeCell ref="D10:D11"/>
    <mergeCell ref="E10:E11"/>
    <mergeCell ref="A1:AA1"/>
    <mergeCell ref="F2:G2"/>
    <mergeCell ref="A4:AA4"/>
    <mergeCell ref="A5:AA5"/>
    <mergeCell ref="F10:F11"/>
    <mergeCell ref="G10:G11"/>
    <mergeCell ref="AA10:AA11"/>
    <mergeCell ref="A6:A9"/>
    <mergeCell ref="B6:H6"/>
    <mergeCell ref="I6:Z6"/>
    <mergeCell ref="AA6:AA9"/>
    <mergeCell ref="B7:D7"/>
    <mergeCell ref="E7:H7"/>
    <mergeCell ref="I7:Z7"/>
    <mergeCell ref="B8:Z8"/>
    <mergeCell ref="W2:AA2"/>
    <mergeCell ref="I29:L29"/>
    <mergeCell ref="B34:M34"/>
    <mergeCell ref="B35:G35"/>
    <mergeCell ref="H35:M35"/>
    <mergeCell ref="B36:G37"/>
    <mergeCell ref="H36:M37"/>
  </mergeCells>
  <conditionalFormatting sqref="I21:Z21">
    <cfRule type="colorScale" priority="3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271" priority="18" operator="greaterThan">
      <formula>95%</formula>
    </cfRule>
    <cfRule type="cellIs" dxfId="270" priority="19" operator="greaterThanOrEqual">
      <formula>90%</formula>
    </cfRule>
    <cfRule type="cellIs" dxfId="269" priority="20" operator="lessThan">
      <formula>89.99%</formula>
    </cfRule>
  </conditionalFormatting>
  <conditionalFormatting sqref="AA13">
    <cfRule type="cellIs" dxfId="268" priority="15" operator="greaterThan">
      <formula>95%</formula>
    </cfRule>
    <cfRule type="cellIs" dxfId="267" priority="16" operator="greaterThanOrEqual">
      <formula>90%</formula>
    </cfRule>
    <cfRule type="cellIs" dxfId="266" priority="17" operator="lessThan">
      <formula>89.99%</formula>
    </cfRule>
  </conditionalFormatting>
  <conditionalFormatting sqref="AA16">
    <cfRule type="cellIs" dxfId="265" priority="12" operator="greaterThan">
      <formula>95%</formula>
    </cfRule>
    <cfRule type="cellIs" dxfId="264" priority="13" operator="greaterThanOrEqual">
      <formula>90%</formula>
    </cfRule>
    <cfRule type="cellIs" dxfId="263" priority="14" operator="lessThan">
      <formula>89.99%</formula>
    </cfRule>
  </conditionalFormatting>
  <conditionalFormatting sqref="AA19">
    <cfRule type="cellIs" dxfId="262" priority="9" operator="greaterThan">
      <formula>95%</formula>
    </cfRule>
    <cfRule type="cellIs" dxfId="261" priority="10" operator="greaterThanOrEqual">
      <formula>90%</formula>
    </cfRule>
    <cfRule type="cellIs" dxfId="260" priority="11" operator="lessThan">
      <formula>89.99%</formula>
    </cfRule>
  </conditionalFormatting>
  <conditionalFormatting sqref="AA22">
    <cfRule type="cellIs" dxfId="259" priority="1" operator="greaterThanOrEqual">
      <formula>100%</formula>
    </cfRule>
    <cfRule type="cellIs" dxfId="258" priority="2" operator="lessThan">
      <formula>99.99%</formula>
    </cfRule>
  </conditionalFormatting>
  <conditionalFormatting sqref="AA25">
    <cfRule type="cellIs" dxfId="257" priority="3" operator="greaterThan">
      <formula>95%</formula>
    </cfRule>
    <cfRule type="cellIs" dxfId="256" priority="4" operator="greaterThanOrEqual">
      <formula>90%</formula>
    </cfRule>
    <cfRule type="cellIs" dxfId="255" priority="5" operator="lessThan">
      <formula>89.99%</formula>
    </cfRule>
  </conditionalFormatting>
  <dataValidations count="1">
    <dataValidation showDropDown="1" showInputMessage="1" showErrorMessage="1" sqref="C21 G19:G23 G10:G11 G16:G17 G13:G14 G25:G26" xr:uid="{8118460C-5792-42D2-9115-8754EF87C2DC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69C2"/>
  </sheetPr>
  <dimension ref="A1:AM38"/>
  <sheetViews>
    <sheetView showGridLines="0" topLeftCell="A4" zoomScale="66" zoomScaleNormal="66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7</v>
      </c>
      <c r="F2" s="129" t="s">
        <v>25</v>
      </c>
      <c r="G2" s="129"/>
      <c r="H2" s="22">
        <v>160753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18</v>
      </c>
      <c r="J10" s="24">
        <v>142</v>
      </c>
      <c r="K10" s="24">
        <v>111</v>
      </c>
      <c r="L10" s="24">
        <v>125</v>
      </c>
      <c r="M10" s="24">
        <v>169</v>
      </c>
      <c r="N10" s="24">
        <v>144</v>
      </c>
      <c r="O10" s="24">
        <v>272</v>
      </c>
      <c r="P10" s="24">
        <v>200</v>
      </c>
      <c r="Q10" s="24">
        <v>151</v>
      </c>
      <c r="R10" s="24">
        <v>107</v>
      </c>
      <c r="S10" s="24">
        <v>246</v>
      </c>
      <c r="T10" s="24">
        <v>226</v>
      </c>
      <c r="U10" s="24">
        <v>155</v>
      </c>
      <c r="V10" s="24">
        <v>146</v>
      </c>
      <c r="W10" s="24">
        <v>167</v>
      </c>
      <c r="X10" s="24">
        <v>179</v>
      </c>
      <c r="Y10" s="24">
        <v>207</v>
      </c>
      <c r="Z10" s="24">
        <v>147</v>
      </c>
      <c r="AA10" s="119">
        <f>IFERROR(SUM(I10:Z10)/SUM(I11:Z11),0)</f>
        <v>1.0003435245620063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18</v>
      </c>
      <c r="J11" s="44">
        <v>142</v>
      </c>
      <c r="K11" s="44">
        <v>111</v>
      </c>
      <c r="L11" s="44">
        <v>125</v>
      </c>
      <c r="M11" s="44">
        <v>169</v>
      </c>
      <c r="N11" s="44">
        <v>144</v>
      </c>
      <c r="O11" s="44">
        <v>272</v>
      </c>
      <c r="P11" s="44">
        <v>200</v>
      </c>
      <c r="Q11" s="44">
        <v>151</v>
      </c>
      <c r="R11" s="44">
        <v>107</v>
      </c>
      <c r="S11" s="44">
        <v>246</v>
      </c>
      <c r="T11" s="44">
        <v>226</v>
      </c>
      <c r="U11" s="44">
        <v>155</v>
      </c>
      <c r="V11" s="44">
        <v>145</v>
      </c>
      <c r="W11" s="44">
        <v>167</v>
      </c>
      <c r="X11" s="44">
        <v>179</v>
      </c>
      <c r="Y11" s="44">
        <v>207</v>
      </c>
      <c r="Z11" s="44">
        <v>147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18</v>
      </c>
      <c r="J13" s="24">
        <v>142</v>
      </c>
      <c r="K13" s="24">
        <v>110</v>
      </c>
      <c r="L13" s="24">
        <v>124</v>
      </c>
      <c r="M13" s="24">
        <v>166</v>
      </c>
      <c r="N13" s="24">
        <v>144</v>
      </c>
      <c r="O13" s="24">
        <v>272</v>
      </c>
      <c r="P13" s="24">
        <v>198</v>
      </c>
      <c r="Q13" s="24">
        <v>148</v>
      </c>
      <c r="R13" s="24">
        <v>107</v>
      </c>
      <c r="S13" s="24">
        <v>245</v>
      </c>
      <c r="T13" s="24">
        <v>224</v>
      </c>
      <c r="U13" s="24">
        <v>154</v>
      </c>
      <c r="V13" s="24">
        <v>145</v>
      </c>
      <c r="W13" s="24">
        <v>166</v>
      </c>
      <c r="X13" s="24">
        <v>177</v>
      </c>
      <c r="Y13" s="24">
        <v>204</v>
      </c>
      <c r="Z13" s="24">
        <v>146</v>
      </c>
      <c r="AA13" s="119">
        <f>IFERROR(SUM(I13:Z13)/SUM(I14:Z14),0)</f>
        <v>0.99244505494505497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18</v>
      </c>
      <c r="J14" s="44">
        <v>142</v>
      </c>
      <c r="K14" s="44">
        <v>111</v>
      </c>
      <c r="L14" s="44">
        <v>125</v>
      </c>
      <c r="M14" s="44">
        <v>169</v>
      </c>
      <c r="N14" s="44">
        <v>144</v>
      </c>
      <c r="O14" s="44">
        <v>272</v>
      </c>
      <c r="P14" s="44">
        <v>200</v>
      </c>
      <c r="Q14" s="44">
        <v>151</v>
      </c>
      <c r="R14" s="44">
        <v>107</v>
      </c>
      <c r="S14" s="44">
        <v>246</v>
      </c>
      <c r="T14" s="44">
        <v>226</v>
      </c>
      <c r="U14" s="44">
        <v>155</v>
      </c>
      <c r="V14" s="44">
        <v>146</v>
      </c>
      <c r="W14" s="44">
        <v>167</v>
      </c>
      <c r="X14" s="44">
        <v>179</v>
      </c>
      <c r="Y14" s="44">
        <v>207</v>
      </c>
      <c r="Z14" s="44">
        <v>147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18</v>
      </c>
      <c r="J16" s="24">
        <v>142</v>
      </c>
      <c r="K16" s="24">
        <v>110</v>
      </c>
      <c r="L16" s="24">
        <v>124</v>
      </c>
      <c r="M16" s="24">
        <v>166</v>
      </c>
      <c r="N16" s="24">
        <v>144</v>
      </c>
      <c r="O16" s="24">
        <v>272</v>
      </c>
      <c r="P16" s="24">
        <v>198</v>
      </c>
      <c r="Q16" s="24">
        <v>148</v>
      </c>
      <c r="R16" s="24">
        <v>107</v>
      </c>
      <c r="S16" s="24">
        <v>245</v>
      </c>
      <c r="T16" s="24">
        <v>224</v>
      </c>
      <c r="U16" s="24">
        <v>154</v>
      </c>
      <c r="V16" s="24">
        <v>145</v>
      </c>
      <c r="W16" s="24">
        <v>166</v>
      </c>
      <c r="X16" s="24">
        <v>177</v>
      </c>
      <c r="Y16" s="24">
        <v>204</v>
      </c>
      <c r="Z16" s="24">
        <v>146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18</v>
      </c>
      <c r="J17" s="44">
        <v>142</v>
      </c>
      <c r="K17" s="44">
        <v>110</v>
      </c>
      <c r="L17" s="44">
        <v>124</v>
      </c>
      <c r="M17" s="44">
        <v>166</v>
      </c>
      <c r="N17" s="44">
        <v>144</v>
      </c>
      <c r="O17" s="44">
        <v>272</v>
      </c>
      <c r="P17" s="44">
        <v>198</v>
      </c>
      <c r="Q17" s="44">
        <v>148</v>
      </c>
      <c r="R17" s="44">
        <v>107</v>
      </c>
      <c r="S17" s="44">
        <v>245</v>
      </c>
      <c r="T17" s="44">
        <v>224</v>
      </c>
      <c r="U17" s="44">
        <v>154</v>
      </c>
      <c r="V17" s="44">
        <v>145</v>
      </c>
      <c r="W17" s="44">
        <v>166</v>
      </c>
      <c r="X17" s="44">
        <v>177</v>
      </c>
      <c r="Y17" s="44">
        <v>204</v>
      </c>
      <c r="Z17" s="44">
        <v>146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0</v>
      </c>
      <c r="J19" s="24">
        <v>213</v>
      </c>
      <c r="K19" s="24">
        <v>110</v>
      </c>
      <c r="L19" s="24">
        <v>128</v>
      </c>
      <c r="M19" s="24">
        <v>132</v>
      </c>
      <c r="N19" s="24">
        <v>117</v>
      </c>
      <c r="O19" s="24">
        <v>182</v>
      </c>
      <c r="P19" s="24">
        <v>332</v>
      </c>
      <c r="Q19" s="24">
        <v>107</v>
      </c>
      <c r="R19" s="24">
        <v>155</v>
      </c>
      <c r="S19" s="24">
        <v>170</v>
      </c>
      <c r="T19" s="24">
        <v>243</v>
      </c>
      <c r="U19" s="24">
        <v>81</v>
      </c>
      <c r="V19" s="24">
        <v>261</v>
      </c>
      <c r="W19" s="24">
        <v>90</v>
      </c>
      <c r="X19" s="24">
        <v>209</v>
      </c>
      <c r="Y19" s="24">
        <v>136</v>
      </c>
      <c r="Z19" s="24">
        <v>120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0</v>
      </c>
      <c r="J20" s="44">
        <v>213</v>
      </c>
      <c r="K20" s="44">
        <v>110</v>
      </c>
      <c r="L20" s="44">
        <v>128</v>
      </c>
      <c r="M20" s="44">
        <v>132</v>
      </c>
      <c r="N20" s="44">
        <v>117</v>
      </c>
      <c r="O20" s="44">
        <v>182</v>
      </c>
      <c r="P20" s="44">
        <v>332</v>
      </c>
      <c r="Q20" s="44">
        <v>107</v>
      </c>
      <c r="R20" s="44">
        <v>155</v>
      </c>
      <c r="S20" s="44">
        <v>170</v>
      </c>
      <c r="T20" s="44">
        <v>243</v>
      </c>
      <c r="U20" s="44">
        <v>81</v>
      </c>
      <c r="V20" s="44">
        <v>261</v>
      </c>
      <c r="W20" s="44">
        <v>90</v>
      </c>
      <c r="X20" s="44">
        <v>209</v>
      </c>
      <c r="Y20" s="44">
        <v>136</v>
      </c>
      <c r="Z20" s="44">
        <v>120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434</v>
      </c>
      <c r="J22" s="24">
        <v>573</v>
      </c>
      <c r="K22" s="24">
        <v>592</v>
      </c>
      <c r="L22" s="24">
        <v>566</v>
      </c>
      <c r="M22" s="24">
        <v>585</v>
      </c>
      <c r="N22" s="24">
        <v>586</v>
      </c>
      <c r="O22" s="24">
        <v>764</v>
      </c>
      <c r="P22" s="24">
        <v>958</v>
      </c>
      <c r="Q22" s="24">
        <v>919</v>
      </c>
      <c r="R22" s="24">
        <v>982</v>
      </c>
      <c r="S22" s="24">
        <v>982</v>
      </c>
      <c r="T22" s="24">
        <v>967</v>
      </c>
      <c r="U22" s="24">
        <v>871</v>
      </c>
      <c r="V22" s="24">
        <v>882</v>
      </c>
      <c r="W22" s="24">
        <v>813</v>
      </c>
      <c r="X22" s="24">
        <v>831</v>
      </c>
      <c r="Y22" s="24">
        <v>841</v>
      </c>
      <c r="Z22" s="24">
        <v>873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434</v>
      </c>
      <c r="J23" s="44">
        <v>573</v>
      </c>
      <c r="K23" s="44">
        <v>592</v>
      </c>
      <c r="L23" s="44">
        <v>566</v>
      </c>
      <c r="M23" s="44">
        <v>585</v>
      </c>
      <c r="N23" s="44">
        <v>586</v>
      </c>
      <c r="O23" s="44">
        <v>764</v>
      </c>
      <c r="P23" s="44">
        <v>958</v>
      </c>
      <c r="Q23" s="44">
        <v>919</v>
      </c>
      <c r="R23" s="44">
        <v>982</v>
      </c>
      <c r="S23" s="44">
        <v>982</v>
      </c>
      <c r="T23" s="44">
        <v>967</v>
      </c>
      <c r="U23" s="44">
        <v>871</v>
      </c>
      <c r="V23" s="44">
        <v>882</v>
      </c>
      <c r="W23" s="44">
        <v>813</v>
      </c>
      <c r="X23" s="44">
        <v>831</v>
      </c>
      <c r="Y23" s="44">
        <v>841</v>
      </c>
      <c r="Z23" s="44">
        <v>873</v>
      </c>
      <c r="AA23" s="119"/>
    </row>
    <row r="24" spans="1:39" s="4" customFormat="1" ht="8.2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33</v>
      </c>
      <c r="J25" s="24">
        <v>74</v>
      </c>
      <c r="K25" s="24">
        <v>90</v>
      </c>
      <c r="L25" s="24">
        <v>154</v>
      </c>
      <c r="M25" s="24">
        <v>93</v>
      </c>
      <c r="N25" s="24">
        <v>116</v>
      </c>
      <c r="O25" s="24">
        <v>1</v>
      </c>
      <c r="P25" s="24">
        <v>138</v>
      </c>
      <c r="Q25" s="24">
        <v>146</v>
      </c>
      <c r="R25" s="24">
        <v>92</v>
      </c>
      <c r="S25" s="24">
        <v>170</v>
      </c>
      <c r="T25" s="24">
        <v>258</v>
      </c>
      <c r="U25" s="24">
        <v>177</v>
      </c>
      <c r="V25" s="24">
        <v>250</v>
      </c>
      <c r="W25" s="24">
        <v>158</v>
      </c>
      <c r="X25" s="24">
        <v>191</v>
      </c>
      <c r="Y25" s="24">
        <v>126</v>
      </c>
      <c r="Z25" s="24">
        <v>88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33</v>
      </c>
      <c r="J26" s="44">
        <v>74</v>
      </c>
      <c r="K26" s="44">
        <v>90</v>
      </c>
      <c r="L26" s="44">
        <v>154</v>
      </c>
      <c r="M26" s="44">
        <v>93</v>
      </c>
      <c r="N26" s="44">
        <v>116</v>
      </c>
      <c r="O26" s="44">
        <v>1</v>
      </c>
      <c r="P26" s="44">
        <v>138</v>
      </c>
      <c r="Q26" s="44">
        <v>146</v>
      </c>
      <c r="R26" s="44">
        <v>92</v>
      </c>
      <c r="S26" s="44">
        <v>170</v>
      </c>
      <c r="T26" s="44">
        <v>258</v>
      </c>
      <c r="U26" s="44">
        <v>177</v>
      </c>
      <c r="V26" s="44">
        <v>250</v>
      </c>
      <c r="W26" s="44">
        <v>158</v>
      </c>
      <c r="X26" s="44">
        <v>191</v>
      </c>
      <c r="Y26" s="44">
        <v>126</v>
      </c>
      <c r="Z26" s="44">
        <v>88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G25:G26"/>
    <mergeCell ref="AA25:AA26"/>
    <mergeCell ref="A24:AA24"/>
    <mergeCell ref="A25:A26"/>
    <mergeCell ref="B25:B26"/>
    <mergeCell ref="C25:C26"/>
    <mergeCell ref="D25:D26"/>
    <mergeCell ref="E25:E26"/>
    <mergeCell ref="F25:F26"/>
    <mergeCell ref="E22:E23"/>
    <mergeCell ref="F19:F20"/>
    <mergeCell ref="G19:G20"/>
    <mergeCell ref="AA19:AA20"/>
    <mergeCell ref="A19:A20"/>
    <mergeCell ref="B19:B20"/>
    <mergeCell ref="C19:C20"/>
    <mergeCell ref="D19:D20"/>
    <mergeCell ref="E19:E20"/>
    <mergeCell ref="F22:F23"/>
    <mergeCell ref="G22:G23"/>
    <mergeCell ref="AA22:AA23"/>
    <mergeCell ref="A22:A23"/>
    <mergeCell ref="B22:B23"/>
    <mergeCell ref="C22:C23"/>
    <mergeCell ref="D22:D23"/>
    <mergeCell ref="F16:F17"/>
    <mergeCell ref="G16:G17"/>
    <mergeCell ref="AA16:AA17"/>
    <mergeCell ref="A18:AA18"/>
    <mergeCell ref="A16:A17"/>
    <mergeCell ref="B16:B17"/>
    <mergeCell ref="C16:C17"/>
    <mergeCell ref="D16:D17"/>
    <mergeCell ref="E16:E17"/>
    <mergeCell ref="F13:F14"/>
    <mergeCell ref="G13:G14"/>
    <mergeCell ref="AA13:AA14"/>
    <mergeCell ref="A15:AA15"/>
    <mergeCell ref="A13:A14"/>
    <mergeCell ref="B13:B14"/>
    <mergeCell ref="C13:C14"/>
    <mergeCell ref="D13:D14"/>
    <mergeCell ref="E13:E14"/>
    <mergeCell ref="A12:AA12"/>
    <mergeCell ref="A10:A11"/>
    <mergeCell ref="B10:B11"/>
    <mergeCell ref="C10:C11"/>
    <mergeCell ref="D10:D11"/>
    <mergeCell ref="E10:E11"/>
    <mergeCell ref="A1:AA1"/>
    <mergeCell ref="F2:G2"/>
    <mergeCell ref="A4:AA4"/>
    <mergeCell ref="A5:AA5"/>
    <mergeCell ref="F10:F11"/>
    <mergeCell ref="G10:G11"/>
    <mergeCell ref="AA10:AA11"/>
    <mergeCell ref="A6:A9"/>
    <mergeCell ref="B6:H6"/>
    <mergeCell ref="I6:Z6"/>
    <mergeCell ref="AA6:AA9"/>
    <mergeCell ref="B7:D7"/>
    <mergeCell ref="E7:H7"/>
    <mergeCell ref="I7:Z7"/>
    <mergeCell ref="B8:Z8"/>
    <mergeCell ref="W2:AA2"/>
    <mergeCell ref="I29:L29"/>
    <mergeCell ref="B34:M34"/>
    <mergeCell ref="B35:G35"/>
    <mergeCell ref="H35:M35"/>
    <mergeCell ref="B36:G37"/>
    <mergeCell ref="H36:M37"/>
  </mergeCells>
  <conditionalFormatting sqref="I21:Z21">
    <cfRule type="colorScale" priority="3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254" priority="18" operator="greaterThan">
      <formula>95%</formula>
    </cfRule>
    <cfRule type="cellIs" dxfId="253" priority="19" operator="greaterThanOrEqual">
      <formula>90%</formula>
    </cfRule>
    <cfRule type="cellIs" dxfId="252" priority="20" operator="lessThan">
      <formula>89.99%</formula>
    </cfRule>
  </conditionalFormatting>
  <conditionalFormatting sqref="AA13">
    <cfRule type="cellIs" dxfId="251" priority="15" operator="greaterThan">
      <formula>95%</formula>
    </cfRule>
    <cfRule type="cellIs" dxfId="250" priority="16" operator="greaterThanOrEqual">
      <formula>90%</formula>
    </cfRule>
    <cfRule type="cellIs" dxfId="249" priority="17" operator="lessThan">
      <formula>89.99%</formula>
    </cfRule>
  </conditionalFormatting>
  <conditionalFormatting sqref="AA16">
    <cfRule type="cellIs" dxfId="248" priority="9" operator="greaterThan">
      <formula>95%</formula>
    </cfRule>
    <cfRule type="cellIs" dxfId="247" priority="10" operator="greaterThanOrEqual">
      <formula>90%</formula>
    </cfRule>
    <cfRule type="cellIs" dxfId="246" priority="11" operator="lessThan">
      <formula>89.99%</formula>
    </cfRule>
  </conditionalFormatting>
  <conditionalFormatting sqref="AA19">
    <cfRule type="cellIs" dxfId="245" priority="12" operator="greaterThan">
      <formula>95%</formula>
    </cfRule>
    <cfRule type="cellIs" dxfId="244" priority="13" operator="greaterThanOrEqual">
      <formula>90%</formula>
    </cfRule>
    <cfRule type="cellIs" dxfId="243" priority="14" operator="lessThan">
      <formula>89.99%</formula>
    </cfRule>
  </conditionalFormatting>
  <conditionalFormatting sqref="AA22">
    <cfRule type="cellIs" dxfId="242" priority="1" operator="greaterThanOrEqual">
      <formula>100%</formula>
    </cfRule>
    <cfRule type="cellIs" dxfId="241" priority="2" operator="lessThan">
      <formula>99.99%</formula>
    </cfRule>
  </conditionalFormatting>
  <conditionalFormatting sqref="AA25">
    <cfRule type="cellIs" dxfId="240" priority="3" operator="greaterThan">
      <formula>95%</formula>
    </cfRule>
    <cfRule type="cellIs" dxfId="239" priority="4" operator="greaterThanOrEqual">
      <formula>90%</formula>
    </cfRule>
    <cfRule type="cellIs" dxfId="238" priority="5" operator="lessThan">
      <formula>89.99%</formula>
    </cfRule>
  </conditionalFormatting>
  <dataValidations count="1">
    <dataValidation showDropDown="1" showInputMessage="1" showErrorMessage="1" sqref="C21 G19:G23 G10:G11 G16:G17 G13:G14 G25:G26" xr:uid="{50336F2E-0BD3-4C14-9785-97FF4BC162EB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69C2"/>
  </sheetPr>
  <dimension ref="A1:AM38"/>
  <sheetViews>
    <sheetView showGridLines="0" topLeftCell="A3" zoomScale="66" zoomScaleNormal="66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7</v>
      </c>
      <c r="F2" s="129" t="s">
        <v>25</v>
      </c>
      <c r="G2" s="129"/>
      <c r="H2" s="22">
        <v>160754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2</v>
      </c>
      <c r="J10" s="24">
        <v>59</v>
      </c>
      <c r="K10" s="24">
        <v>55</v>
      </c>
      <c r="L10" s="24">
        <v>155</v>
      </c>
      <c r="M10" s="24">
        <v>177</v>
      </c>
      <c r="N10" s="24">
        <v>73</v>
      </c>
      <c r="O10" s="24">
        <v>121</v>
      </c>
      <c r="P10" s="24">
        <v>111</v>
      </c>
      <c r="Q10" s="24">
        <v>165</v>
      </c>
      <c r="R10" s="24">
        <v>92</v>
      </c>
      <c r="S10" s="24">
        <v>200</v>
      </c>
      <c r="T10" s="24">
        <v>168</v>
      </c>
      <c r="U10" s="24">
        <v>85</v>
      </c>
      <c r="V10" s="24">
        <v>67</v>
      </c>
      <c r="W10" s="24">
        <v>108</v>
      </c>
      <c r="X10" s="24">
        <v>195</v>
      </c>
      <c r="Y10" s="24">
        <v>210</v>
      </c>
      <c r="Z10" s="24">
        <v>100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2</v>
      </c>
      <c r="J11" s="44">
        <v>59</v>
      </c>
      <c r="K11" s="44">
        <v>55</v>
      </c>
      <c r="L11" s="44">
        <v>155</v>
      </c>
      <c r="M11" s="44">
        <v>177</v>
      </c>
      <c r="N11" s="44">
        <v>73</v>
      </c>
      <c r="O11" s="44">
        <v>121</v>
      </c>
      <c r="P11" s="44">
        <v>111</v>
      </c>
      <c r="Q11" s="44">
        <v>165</v>
      </c>
      <c r="R11" s="44">
        <v>92</v>
      </c>
      <c r="S11" s="44">
        <v>200</v>
      </c>
      <c r="T11" s="44">
        <v>168</v>
      </c>
      <c r="U11" s="44">
        <v>85</v>
      </c>
      <c r="V11" s="44">
        <v>67</v>
      </c>
      <c r="W11" s="44">
        <v>108</v>
      </c>
      <c r="X11" s="44">
        <v>195</v>
      </c>
      <c r="Y11" s="44">
        <v>210</v>
      </c>
      <c r="Z11" s="44">
        <v>100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2</v>
      </c>
      <c r="J13" s="24">
        <v>59</v>
      </c>
      <c r="K13" s="24">
        <v>55</v>
      </c>
      <c r="L13" s="24">
        <v>155</v>
      </c>
      <c r="M13" s="24">
        <v>174</v>
      </c>
      <c r="N13" s="24">
        <v>73</v>
      </c>
      <c r="O13" s="24">
        <v>120</v>
      </c>
      <c r="P13" s="24">
        <v>110</v>
      </c>
      <c r="Q13" s="24">
        <v>165</v>
      </c>
      <c r="R13" s="24">
        <v>91</v>
      </c>
      <c r="S13" s="24">
        <v>200</v>
      </c>
      <c r="T13" s="24">
        <v>166</v>
      </c>
      <c r="U13" s="24">
        <v>85</v>
      </c>
      <c r="V13" s="24">
        <v>67</v>
      </c>
      <c r="W13" s="24">
        <v>108</v>
      </c>
      <c r="X13" s="24">
        <v>195</v>
      </c>
      <c r="Y13" s="24">
        <v>205</v>
      </c>
      <c r="Z13" s="24">
        <v>99</v>
      </c>
      <c r="AA13" s="119">
        <f>IFERROR(SUM(I13:Z13)/SUM(I14:Z14),0)</f>
        <v>0.99439514245679594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2</v>
      </c>
      <c r="J14" s="44">
        <v>59</v>
      </c>
      <c r="K14" s="44">
        <v>55</v>
      </c>
      <c r="L14" s="44">
        <v>155</v>
      </c>
      <c r="M14" s="44">
        <v>177</v>
      </c>
      <c r="N14" s="44">
        <v>73</v>
      </c>
      <c r="O14" s="44">
        <v>120</v>
      </c>
      <c r="P14" s="44">
        <v>110</v>
      </c>
      <c r="Q14" s="44">
        <v>165</v>
      </c>
      <c r="R14" s="44">
        <v>92</v>
      </c>
      <c r="S14" s="44">
        <v>200</v>
      </c>
      <c r="T14" s="44">
        <v>168</v>
      </c>
      <c r="U14" s="44">
        <v>85</v>
      </c>
      <c r="V14" s="44">
        <v>67</v>
      </c>
      <c r="W14" s="44">
        <v>108</v>
      </c>
      <c r="X14" s="44">
        <v>195</v>
      </c>
      <c r="Y14" s="44">
        <v>210</v>
      </c>
      <c r="Z14" s="44">
        <v>100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2</v>
      </c>
      <c r="J16" s="24">
        <v>59</v>
      </c>
      <c r="K16" s="24">
        <v>55</v>
      </c>
      <c r="L16" s="24">
        <v>155</v>
      </c>
      <c r="M16" s="24">
        <v>174</v>
      </c>
      <c r="N16" s="24">
        <v>73</v>
      </c>
      <c r="O16" s="24">
        <v>120</v>
      </c>
      <c r="P16" s="24">
        <v>110</v>
      </c>
      <c r="Q16" s="24">
        <v>165</v>
      </c>
      <c r="R16" s="24">
        <v>91</v>
      </c>
      <c r="S16" s="24">
        <v>200</v>
      </c>
      <c r="T16" s="24">
        <v>166</v>
      </c>
      <c r="U16" s="24">
        <v>85</v>
      </c>
      <c r="V16" s="24">
        <v>67</v>
      </c>
      <c r="W16" s="24">
        <v>108</v>
      </c>
      <c r="X16" s="24">
        <v>195</v>
      </c>
      <c r="Y16" s="24">
        <v>205</v>
      </c>
      <c r="Z16" s="24">
        <v>99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2</v>
      </c>
      <c r="J17" s="44">
        <v>59</v>
      </c>
      <c r="K17" s="44">
        <v>55</v>
      </c>
      <c r="L17" s="44">
        <v>155</v>
      </c>
      <c r="M17" s="44">
        <v>174</v>
      </c>
      <c r="N17" s="44">
        <v>73</v>
      </c>
      <c r="O17" s="44">
        <v>120</v>
      </c>
      <c r="P17" s="44">
        <v>110</v>
      </c>
      <c r="Q17" s="44">
        <v>165</v>
      </c>
      <c r="R17" s="44">
        <v>91</v>
      </c>
      <c r="S17" s="44">
        <v>200</v>
      </c>
      <c r="T17" s="44">
        <v>166</v>
      </c>
      <c r="U17" s="44">
        <v>85</v>
      </c>
      <c r="V17" s="44">
        <v>67</v>
      </c>
      <c r="W17" s="44">
        <v>108</v>
      </c>
      <c r="X17" s="44">
        <v>195</v>
      </c>
      <c r="Y17" s="44">
        <v>205</v>
      </c>
      <c r="Z17" s="44">
        <v>99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52</v>
      </c>
      <c r="J19" s="24">
        <v>48</v>
      </c>
      <c r="K19" s="24">
        <v>39</v>
      </c>
      <c r="L19" s="24">
        <v>69</v>
      </c>
      <c r="M19" s="24">
        <v>208</v>
      </c>
      <c r="N19" s="24">
        <v>115</v>
      </c>
      <c r="O19" s="24">
        <v>91</v>
      </c>
      <c r="P19" s="24">
        <v>146</v>
      </c>
      <c r="Q19" s="24">
        <v>101</v>
      </c>
      <c r="R19" s="24">
        <v>140</v>
      </c>
      <c r="S19" s="24">
        <v>138</v>
      </c>
      <c r="T19" s="24">
        <v>234</v>
      </c>
      <c r="U19" s="24">
        <v>56</v>
      </c>
      <c r="V19" s="24">
        <v>104</v>
      </c>
      <c r="W19" s="24">
        <v>55</v>
      </c>
      <c r="X19" s="24">
        <v>127</v>
      </c>
      <c r="Y19" s="24">
        <v>169</v>
      </c>
      <c r="Z19" s="24">
        <v>131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52</v>
      </c>
      <c r="J20" s="44">
        <v>48</v>
      </c>
      <c r="K20" s="44">
        <v>39</v>
      </c>
      <c r="L20" s="44">
        <v>69</v>
      </c>
      <c r="M20" s="44">
        <v>208</v>
      </c>
      <c r="N20" s="44">
        <v>115</v>
      </c>
      <c r="O20" s="44">
        <v>91</v>
      </c>
      <c r="P20" s="44">
        <v>146</v>
      </c>
      <c r="Q20" s="44">
        <v>101</v>
      </c>
      <c r="R20" s="44">
        <v>140</v>
      </c>
      <c r="S20" s="44">
        <v>138</v>
      </c>
      <c r="T20" s="44">
        <v>234</v>
      </c>
      <c r="U20" s="44">
        <v>56</v>
      </c>
      <c r="V20" s="44">
        <v>104</v>
      </c>
      <c r="W20" s="44">
        <v>55</v>
      </c>
      <c r="X20" s="44">
        <v>127</v>
      </c>
      <c r="Y20" s="44">
        <v>169</v>
      </c>
      <c r="Z20" s="44">
        <v>131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716</v>
      </c>
      <c r="J22" s="24">
        <v>672</v>
      </c>
      <c r="K22" s="24">
        <v>647</v>
      </c>
      <c r="L22" s="24">
        <v>558</v>
      </c>
      <c r="M22" s="24">
        <v>547</v>
      </c>
      <c r="N22" s="24">
        <v>596</v>
      </c>
      <c r="O22" s="24">
        <v>651</v>
      </c>
      <c r="P22" s="24">
        <v>721</v>
      </c>
      <c r="Q22" s="24">
        <v>753</v>
      </c>
      <c r="R22" s="24">
        <v>828</v>
      </c>
      <c r="S22" s="24">
        <v>740</v>
      </c>
      <c r="T22" s="24">
        <v>834</v>
      </c>
      <c r="U22" s="24">
        <v>822</v>
      </c>
      <c r="V22" s="24">
        <v>785</v>
      </c>
      <c r="W22" s="24">
        <v>735</v>
      </c>
      <c r="X22" s="24">
        <v>745</v>
      </c>
      <c r="Y22" s="24">
        <v>653</v>
      </c>
      <c r="Z22" s="24">
        <v>603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716</v>
      </c>
      <c r="J23" s="44">
        <v>672</v>
      </c>
      <c r="K23" s="44">
        <v>647</v>
      </c>
      <c r="L23" s="44">
        <v>558</v>
      </c>
      <c r="M23" s="44">
        <v>547</v>
      </c>
      <c r="N23" s="44">
        <v>596</v>
      </c>
      <c r="O23" s="44">
        <v>651</v>
      </c>
      <c r="P23" s="44">
        <v>721</v>
      </c>
      <c r="Q23" s="44">
        <v>753</v>
      </c>
      <c r="R23" s="44">
        <v>828</v>
      </c>
      <c r="S23" s="44">
        <v>740</v>
      </c>
      <c r="T23" s="44">
        <v>834</v>
      </c>
      <c r="U23" s="44">
        <v>822</v>
      </c>
      <c r="V23" s="44">
        <v>785</v>
      </c>
      <c r="W23" s="44">
        <v>735</v>
      </c>
      <c r="X23" s="44">
        <v>745</v>
      </c>
      <c r="Y23" s="44">
        <v>653</v>
      </c>
      <c r="Z23" s="44">
        <v>603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18</v>
      </c>
      <c r="J25" s="24">
        <v>92</v>
      </c>
      <c r="K25" s="24">
        <v>57</v>
      </c>
      <c r="L25" s="24">
        <v>69</v>
      </c>
      <c r="M25" s="24">
        <v>121</v>
      </c>
      <c r="N25" s="24">
        <v>66</v>
      </c>
      <c r="O25" s="24">
        <v>36</v>
      </c>
      <c r="P25" s="24">
        <v>76</v>
      </c>
      <c r="Q25" s="24">
        <v>69</v>
      </c>
      <c r="R25" s="24">
        <v>65</v>
      </c>
      <c r="S25" s="24">
        <v>223</v>
      </c>
      <c r="T25" s="24">
        <v>140</v>
      </c>
      <c r="U25" s="24">
        <v>68</v>
      </c>
      <c r="V25" s="24">
        <v>141</v>
      </c>
      <c r="W25" s="24">
        <v>104</v>
      </c>
      <c r="X25" s="24">
        <v>117</v>
      </c>
      <c r="Y25" s="24">
        <v>261</v>
      </c>
      <c r="Z25" s="24">
        <v>181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18</v>
      </c>
      <c r="J26" s="44">
        <v>92</v>
      </c>
      <c r="K26" s="44">
        <v>57</v>
      </c>
      <c r="L26" s="44">
        <v>69</v>
      </c>
      <c r="M26" s="44">
        <v>121</v>
      </c>
      <c r="N26" s="44">
        <v>66</v>
      </c>
      <c r="O26" s="44">
        <v>36</v>
      </c>
      <c r="P26" s="44">
        <v>76</v>
      </c>
      <c r="Q26" s="44">
        <v>69</v>
      </c>
      <c r="R26" s="44">
        <v>65</v>
      </c>
      <c r="S26" s="44">
        <v>223</v>
      </c>
      <c r="T26" s="44">
        <v>140</v>
      </c>
      <c r="U26" s="44">
        <v>68</v>
      </c>
      <c r="V26" s="44">
        <v>141</v>
      </c>
      <c r="W26" s="44">
        <v>104</v>
      </c>
      <c r="X26" s="44">
        <v>117</v>
      </c>
      <c r="Y26" s="44">
        <v>261</v>
      </c>
      <c r="Z26" s="44">
        <v>181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G25:G26"/>
    <mergeCell ref="AA25:AA26"/>
    <mergeCell ref="A24:AA24"/>
    <mergeCell ref="A25:A26"/>
    <mergeCell ref="B25:B26"/>
    <mergeCell ref="C25:C26"/>
    <mergeCell ref="D25:D26"/>
    <mergeCell ref="E25:E26"/>
    <mergeCell ref="F25:F26"/>
    <mergeCell ref="E22:E23"/>
    <mergeCell ref="F19:F20"/>
    <mergeCell ref="G19:G20"/>
    <mergeCell ref="AA19:AA20"/>
    <mergeCell ref="A19:A20"/>
    <mergeCell ref="B19:B20"/>
    <mergeCell ref="C19:C20"/>
    <mergeCell ref="D19:D20"/>
    <mergeCell ref="E19:E20"/>
    <mergeCell ref="F22:F23"/>
    <mergeCell ref="G22:G23"/>
    <mergeCell ref="AA22:AA23"/>
    <mergeCell ref="A22:A23"/>
    <mergeCell ref="B22:B23"/>
    <mergeCell ref="C22:C23"/>
    <mergeCell ref="D22:D23"/>
    <mergeCell ref="F16:F17"/>
    <mergeCell ref="G16:G17"/>
    <mergeCell ref="AA16:AA17"/>
    <mergeCell ref="A18:AA18"/>
    <mergeCell ref="A16:A17"/>
    <mergeCell ref="B16:B17"/>
    <mergeCell ref="C16:C17"/>
    <mergeCell ref="D16:D17"/>
    <mergeCell ref="E16:E17"/>
    <mergeCell ref="F13:F14"/>
    <mergeCell ref="G13:G14"/>
    <mergeCell ref="AA13:AA14"/>
    <mergeCell ref="A15:AA15"/>
    <mergeCell ref="A13:A14"/>
    <mergeCell ref="B13:B14"/>
    <mergeCell ref="C13:C14"/>
    <mergeCell ref="D13:D14"/>
    <mergeCell ref="E13:E14"/>
    <mergeCell ref="A12:AA12"/>
    <mergeCell ref="A10:A11"/>
    <mergeCell ref="B10:B11"/>
    <mergeCell ref="C10:C11"/>
    <mergeCell ref="D10:D11"/>
    <mergeCell ref="E10:E11"/>
    <mergeCell ref="A1:AA1"/>
    <mergeCell ref="F2:G2"/>
    <mergeCell ref="A4:AA4"/>
    <mergeCell ref="A5:AA5"/>
    <mergeCell ref="F10:F11"/>
    <mergeCell ref="G10:G11"/>
    <mergeCell ref="AA10:AA11"/>
    <mergeCell ref="A6:A9"/>
    <mergeCell ref="B6:H6"/>
    <mergeCell ref="I6:Z6"/>
    <mergeCell ref="AA6:AA9"/>
    <mergeCell ref="B7:D7"/>
    <mergeCell ref="E7:H7"/>
    <mergeCell ref="I7:Z7"/>
    <mergeCell ref="B8:Z8"/>
    <mergeCell ref="W2:AA2"/>
    <mergeCell ref="I29:L29"/>
    <mergeCell ref="B34:M34"/>
    <mergeCell ref="B35:G35"/>
    <mergeCell ref="H35:M35"/>
    <mergeCell ref="B36:G37"/>
    <mergeCell ref="H36:M37"/>
  </mergeCells>
  <conditionalFormatting sqref="I21:Z21">
    <cfRule type="colorScale" priority="3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237" priority="18" operator="greaterThan">
      <formula>95%</formula>
    </cfRule>
    <cfRule type="cellIs" dxfId="236" priority="19" operator="greaterThanOrEqual">
      <formula>90%</formula>
    </cfRule>
    <cfRule type="cellIs" dxfId="235" priority="20" operator="lessThan">
      <formula>89.99%</formula>
    </cfRule>
  </conditionalFormatting>
  <conditionalFormatting sqref="AA13">
    <cfRule type="cellIs" dxfId="234" priority="15" operator="greaterThan">
      <formula>95%</formula>
    </cfRule>
    <cfRule type="cellIs" dxfId="233" priority="16" operator="greaterThanOrEqual">
      <formula>90%</formula>
    </cfRule>
    <cfRule type="cellIs" dxfId="232" priority="17" operator="lessThan">
      <formula>89.99%</formula>
    </cfRule>
  </conditionalFormatting>
  <conditionalFormatting sqref="AA16">
    <cfRule type="cellIs" dxfId="231" priority="12" operator="greaterThan">
      <formula>95%</formula>
    </cfRule>
    <cfRule type="cellIs" dxfId="230" priority="13" operator="greaterThanOrEqual">
      <formula>90%</formula>
    </cfRule>
    <cfRule type="cellIs" dxfId="229" priority="14" operator="lessThan">
      <formula>89.99%</formula>
    </cfRule>
  </conditionalFormatting>
  <conditionalFormatting sqref="AA19">
    <cfRule type="cellIs" dxfId="228" priority="9" operator="greaterThan">
      <formula>95%</formula>
    </cfRule>
    <cfRule type="cellIs" dxfId="227" priority="10" operator="greaterThanOrEqual">
      <formula>90%</formula>
    </cfRule>
    <cfRule type="cellIs" dxfId="226" priority="11" operator="lessThan">
      <formula>89.99%</formula>
    </cfRule>
  </conditionalFormatting>
  <conditionalFormatting sqref="AA22">
    <cfRule type="cellIs" dxfId="225" priority="1" operator="greaterThanOrEqual">
      <formula>100%</formula>
    </cfRule>
    <cfRule type="cellIs" dxfId="224" priority="2" operator="lessThan">
      <formula>99.99%</formula>
    </cfRule>
  </conditionalFormatting>
  <conditionalFormatting sqref="AA25">
    <cfRule type="cellIs" dxfId="223" priority="3" operator="greaterThan">
      <formula>95%</formula>
    </cfRule>
    <cfRule type="cellIs" dxfId="222" priority="4" operator="greaterThanOrEqual">
      <formula>90%</formula>
    </cfRule>
    <cfRule type="cellIs" dxfId="221" priority="5" operator="lessThan">
      <formula>89.99%</formula>
    </cfRule>
  </conditionalFormatting>
  <dataValidations count="1">
    <dataValidation showDropDown="1" showInputMessage="1" showErrorMessage="1" sqref="C21 G19:G23 G10:G11 G16:G17 G13:G14 G25:G26" xr:uid="{057E1A07-6B09-4DB7-B1EB-F1888CF98587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69C2"/>
  </sheetPr>
  <dimension ref="A1:AM38"/>
  <sheetViews>
    <sheetView showGridLines="0" topLeftCell="C7" zoomScale="71" zoomScaleNormal="71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7</v>
      </c>
      <c r="F2" s="129" t="s">
        <v>25</v>
      </c>
      <c r="G2" s="129"/>
      <c r="H2" s="22">
        <v>160755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41</v>
      </c>
      <c r="J10" s="24">
        <v>222</v>
      </c>
      <c r="K10" s="24">
        <v>164</v>
      </c>
      <c r="L10" s="24">
        <v>214</v>
      </c>
      <c r="M10" s="24">
        <v>187</v>
      </c>
      <c r="N10" s="24">
        <v>223</v>
      </c>
      <c r="O10" s="24">
        <v>218</v>
      </c>
      <c r="P10" s="24">
        <v>280</v>
      </c>
      <c r="Q10" s="24">
        <v>255</v>
      </c>
      <c r="R10" s="24">
        <v>150</v>
      </c>
      <c r="S10" s="24">
        <v>260</v>
      </c>
      <c r="T10" s="24">
        <v>300</v>
      </c>
      <c r="U10" s="24">
        <v>289</v>
      </c>
      <c r="V10" s="24">
        <v>383</v>
      </c>
      <c r="W10" s="24">
        <v>431</v>
      </c>
      <c r="X10" s="24">
        <v>384</v>
      </c>
      <c r="Y10" s="24">
        <v>415</v>
      </c>
      <c r="Z10" s="24">
        <v>355</v>
      </c>
      <c r="AA10" s="119">
        <f>IFERROR(SUM(I10:Z10)/SUM(I11:Z11),0)</f>
        <v>0.99457994579945797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43</v>
      </c>
      <c r="J11" s="44">
        <v>224</v>
      </c>
      <c r="K11" s="44">
        <v>166</v>
      </c>
      <c r="L11" s="44">
        <v>216</v>
      </c>
      <c r="M11" s="44">
        <v>187</v>
      </c>
      <c r="N11" s="44">
        <v>225</v>
      </c>
      <c r="O11" s="44">
        <v>220</v>
      </c>
      <c r="P11" s="44">
        <v>282</v>
      </c>
      <c r="Q11" s="44">
        <v>255</v>
      </c>
      <c r="R11" s="44">
        <v>152</v>
      </c>
      <c r="S11" s="44">
        <v>260</v>
      </c>
      <c r="T11" s="44">
        <v>302</v>
      </c>
      <c r="U11" s="44">
        <v>290</v>
      </c>
      <c r="V11" s="44">
        <v>383</v>
      </c>
      <c r="W11" s="44">
        <v>432</v>
      </c>
      <c r="X11" s="44">
        <v>384</v>
      </c>
      <c r="Y11" s="44">
        <v>418</v>
      </c>
      <c r="Z11" s="44">
        <v>358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40</v>
      </c>
      <c r="J13" s="24">
        <v>222</v>
      </c>
      <c r="K13" s="24">
        <v>163</v>
      </c>
      <c r="L13" s="24">
        <v>214</v>
      </c>
      <c r="M13" s="24">
        <v>185</v>
      </c>
      <c r="N13" s="24">
        <v>223</v>
      </c>
      <c r="O13" s="24">
        <v>218</v>
      </c>
      <c r="P13" s="24">
        <v>273</v>
      </c>
      <c r="Q13" s="24">
        <v>255</v>
      </c>
      <c r="R13" s="24">
        <v>149</v>
      </c>
      <c r="S13" s="24">
        <v>260</v>
      </c>
      <c r="T13" s="24">
        <v>299</v>
      </c>
      <c r="U13" s="24">
        <v>289</v>
      </c>
      <c r="V13" s="24">
        <v>383</v>
      </c>
      <c r="W13" s="24">
        <v>431</v>
      </c>
      <c r="X13" s="24">
        <v>384</v>
      </c>
      <c r="Y13" s="24">
        <v>413</v>
      </c>
      <c r="Z13" s="24">
        <v>354</v>
      </c>
      <c r="AA13" s="119">
        <f>IFERROR(SUM(I13:Z13)/SUM(I14:Z14),0)</f>
        <v>0.9964375523889355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41</v>
      </c>
      <c r="J14" s="44">
        <v>222</v>
      </c>
      <c r="K14" s="44">
        <v>164</v>
      </c>
      <c r="L14" s="44">
        <v>214</v>
      </c>
      <c r="M14" s="44">
        <v>187</v>
      </c>
      <c r="N14" s="44">
        <v>223</v>
      </c>
      <c r="O14" s="44">
        <v>218</v>
      </c>
      <c r="P14" s="44">
        <v>280</v>
      </c>
      <c r="Q14" s="44">
        <v>255</v>
      </c>
      <c r="R14" s="44">
        <v>150</v>
      </c>
      <c r="S14" s="44">
        <v>260</v>
      </c>
      <c r="T14" s="44">
        <v>300</v>
      </c>
      <c r="U14" s="44">
        <v>289</v>
      </c>
      <c r="V14" s="44">
        <v>383</v>
      </c>
      <c r="W14" s="44">
        <v>432</v>
      </c>
      <c r="X14" s="44">
        <v>384</v>
      </c>
      <c r="Y14" s="44">
        <v>415</v>
      </c>
      <c r="Z14" s="44">
        <v>355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40</v>
      </c>
      <c r="J16" s="24">
        <v>22</v>
      </c>
      <c r="K16" s="24">
        <v>163</v>
      </c>
      <c r="L16" s="24">
        <v>214</v>
      </c>
      <c r="M16" s="24">
        <v>185</v>
      </c>
      <c r="N16" s="24">
        <v>223</v>
      </c>
      <c r="O16" s="24">
        <v>218</v>
      </c>
      <c r="P16" s="24">
        <v>273</v>
      </c>
      <c r="Q16" s="24">
        <v>255</v>
      </c>
      <c r="R16" s="24">
        <v>149</v>
      </c>
      <c r="S16" s="24">
        <v>260</v>
      </c>
      <c r="T16" s="24">
        <v>299</v>
      </c>
      <c r="U16" s="24">
        <v>289</v>
      </c>
      <c r="V16" s="24">
        <v>383</v>
      </c>
      <c r="W16" s="24">
        <v>431</v>
      </c>
      <c r="X16" s="24">
        <v>384</v>
      </c>
      <c r="Y16" s="24">
        <v>413</v>
      </c>
      <c r="Z16" s="24">
        <v>354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40</v>
      </c>
      <c r="J17" s="44">
        <v>22</v>
      </c>
      <c r="K17" s="44">
        <v>163</v>
      </c>
      <c r="L17" s="44">
        <v>214</v>
      </c>
      <c r="M17" s="44">
        <v>185</v>
      </c>
      <c r="N17" s="44">
        <v>223</v>
      </c>
      <c r="O17" s="44">
        <v>218</v>
      </c>
      <c r="P17" s="44">
        <v>273</v>
      </c>
      <c r="Q17" s="44">
        <v>255</v>
      </c>
      <c r="R17" s="44">
        <v>149</v>
      </c>
      <c r="S17" s="44">
        <v>260</v>
      </c>
      <c r="T17" s="44">
        <v>299</v>
      </c>
      <c r="U17" s="44">
        <v>289</v>
      </c>
      <c r="V17" s="44">
        <v>383</v>
      </c>
      <c r="W17" s="44">
        <v>431</v>
      </c>
      <c r="X17" s="44">
        <v>384</v>
      </c>
      <c r="Y17" s="44">
        <v>413</v>
      </c>
      <c r="Z17" s="44">
        <v>354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0</v>
      </c>
      <c r="J19" s="24">
        <v>244</v>
      </c>
      <c r="K19" s="24">
        <v>177</v>
      </c>
      <c r="L19" s="24">
        <v>195</v>
      </c>
      <c r="M19" s="24">
        <v>279</v>
      </c>
      <c r="N19" s="24">
        <v>200</v>
      </c>
      <c r="O19" s="24">
        <v>224</v>
      </c>
      <c r="P19" s="24">
        <v>235</v>
      </c>
      <c r="Q19" s="24">
        <v>314</v>
      </c>
      <c r="R19" s="24">
        <v>99</v>
      </c>
      <c r="S19" s="24">
        <v>210</v>
      </c>
      <c r="T19" s="24">
        <v>325</v>
      </c>
      <c r="U19" s="24">
        <v>327</v>
      </c>
      <c r="V19" s="24">
        <v>304</v>
      </c>
      <c r="W19" s="24">
        <v>214</v>
      </c>
      <c r="X19" s="24">
        <v>578</v>
      </c>
      <c r="Y19" s="24">
        <v>314</v>
      </c>
      <c r="Z19" s="24">
        <v>174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0</v>
      </c>
      <c r="J20" s="44">
        <v>244</v>
      </c>
      <c r="K20" s="44">
        <v>177</v>
      </c>
      <c r="L20" s="44">
        <v>195</v>
      </c>
      <c r="M20" s="44">
        <v>279</v>
      </c>
      <c r="N20" s="44">
        <v>200</v>
      </c>
      <c r="O20" s="44">
        <v>224</v>
      </c>
      <c r="P20" s="44">
        <v>235</v>
      </c>
      <c r="Q20" s="44">
        <v>314</v>
      </c>
      <c r="R20" s="44">
        <v>99</v>
      </c>
      <c r="S20" s="44">
        <v>210</v>
      </c>
      <c r="T20" s="44">
        <v>325</v>
      </c>
      <c r="U20" s="44">
        <v>327</v>
      </c>
      <c r="V20" s="44">
        <v>304</v>
      </c>
      <c r="W20" s="44">
        <v>214</v>
      </c>
      <c r="X20" s="44">
        <v>578</v>
      </c>
      <c r="Y20" s="44">
        <v>314</v>
      </c>
      <c r="Z20" s="44">
        <v>174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1533</v>
      </c>
      <c r="J22" s="24">
        <v>1596</v>
      </c>
      <c r="K22" s="24">
        <v>1494</v>
      </c>
      <c r="L22" s="24">
        <v>1456</v>
      </c>
      <c r="M22" s="24">
        <v>637</v>
      </c>
      <c r="N22" s="24">
        <v>629</v>
      </c>
      <c r="O22" s="24">
        <v>656</v>
      </c>
      <c r="P22" s="24">
        <v>687</v>
      </c>
      <c r="Q22" s="24">
        <v>765</v>
      </c>
      <c r="R22" s="24">
        <v>674</v>
      </c>
      <c r="S22" s="24">
        <v>620</v>
      </c>
      <c r="T22" s="24">
        <v>743</v>
      </c>
      <c r="U22" s="24">
        <v>836</v>
      </c>
      <c r="V22" s="24">
        <v>835</v>
      </c>
      <c r="W22" s="24">
        <v>672</v>
      </c>
      <c r="X22" s="24">
        <v>830</v>
      </c>
      <c r="Y22" s="24">
        <v>694</v>
      </c>
      <c r="Z22" s="24">
        <v>576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1533</v>
      </c>
      <c r="J23" s="44">
        <v>1596</v>
      </c>
      <c r="K23" s="44">
        <v>1494</v>
      </c>
      <c r="L23" s="44">
        <v>1456</v>
      </c>
      <c r="M23" s="44">
        <v>637</v>
      </c>
      <c r="N23" s="44">
        <v>629</v>
      </c>
      <c r="O23" s="44">
        <v>656</v>
      </c>
      <c r="P23" s="44">
        <v>687</v>
      </c>
      <c r="Q23" s="44">
        <v>765</v>
      </c>
      <c r="R23" s="44">
        <v>674</v>
      </c>
      <c r="S23" s="44">
        <v>620</v>
      </c>
      <c r="T23" s="44">
        <v>743</v>
      </c>
      <c r="U23" s="44">
        <v>836</v>
      </c>
      <c r="V23" s="44">
        <v>835</v>
      </c>
      <c r="W23" s="44">
        <v>672</v>
      </c>
      <c r="X23" s="44">
        <v>830</v>
      </c>
      <c r="Y23" s="44">
        <v>694</v>
      </c>
      <c r="Z23" s="44">
        <v>576</v>
      </c>
      <c r="AA23" s="119"/>
    </row>
    <row r="24" spans="1:39" s="4" customFormat="1" ht="8.2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15</v>
      </c>
      <c r="J25" s="24">
        <v>181</v>
      </c>
      <c r="K25" s="24">
        <v>270</v>
      </c>
      <c r="L25" s="24">
        <v>233</v>
      </c>
      <c r="M25" s="24">
        <v>200</v>
      </c>
      <c r="N25" s="24">
        <v>206</v>
      </c>
      <c r="O25" s="24">
        <v>197</v>
      </c>
      <c r="P25" s="24">
        <v>204</v>
      </c>
      <c r="Q25" s="24">
        <v>236</v>
      </c>
      <c r="R25" s="24">
        <v>190</v>
      </c>
      <c r="S25" s="24">
        <v>260</v>
      </c>
      <c r="T25" s="24">
        <v>202</v>
      </c>
      <c r="U25" s="24">
        <v>234</v>
      </c>
      <c r="V25" s="24">
        <v>305</v>
      </c>
      <c r="W25" s="24">
        <v>374</v>
      </c>
      <c r="X25" s="24">
        <v>420</v>
      </c>
      <c r="Y25" s="24">
        <v>450</v>
      </c>
      <c r="Z25" s="24">
        <v>292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15</v>
      </c>
      <c r="J26" s="44">
        <v>181</v>
      </c>
      <c r="K26" s="44">
        <v>270</v>
      </c>
      <c r="L26" s="44">
        <v>233</v>
      </c>
      <c r="M26" s="44">
        <v>200</v>
      </c>
      <c r="N26" s="44">
        <v>206</v>
      </c>
      <c r="O26" s="44">
        <v>197</v>
      </c>
      <c r="P26" s="44">
        <v>204</v>
      </c>
      <c r="Q26" s="44">
        <v>236</v>
      </c>
      <c r="R26" s="44">
        <v>190</v>
      </c>
      <c r="S26" s="44">
        <v>260</v>
      </c>
      <c r="T26" s="44">
        <v>202</v>
      </c>
      <c r="U26" s="44">
        <v>234</v>
      </c>
      <c r="V26" s="44">
        <v>305</v>
      </c>
      <c r="W26" s="44">
        <v>374</v>
      </c>
      <c r="X26" s="44">
        <v>420</v>
      </c>
      <c r="Y26" s="44">
        <v>450</v>
      </c>
      <c r="Z26" s="44">
        <v>292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G25:G26"/>
    <mergeCell ref="AA25:AA26"/>
    <mergeCell ref="A24:AA24"/>
    <mergeCell ref="A25:A26"/>
    <mergeCell ref="B25:B26"/>
    <mergeCell ref="C25:C26"/>
    <mergeCell ref="D25:D26"/>
    <mergeCell ref="E25:E26"/>
    <mergeCell ref="F25:F26"/>
    <mergeCell ref="E22:E23"/>
    <mergeCell ref="G19:G20"/>
    <mergeCell ref="AA19:AA20"/>
    <mergeCell ref="A19:A20"/>
    <mergeCell ref="B19:B20"/>
    <mergeCell ref="C19:C20"/>
    <mergeCell ref="D19:D20"/>
    <mergeCell ref="E19:E20"/>
    <mergeCell ref="F19:F20"/>
    <mergeCell ref="F22:F23"/>
    <mergeCell ref="G22:G23"/>
    <mergeCell ref="AA22:AA23"/>
    <mergeCell ref="A22:A23"/>
    <mergeCell ref="B22:B23"/>
    <mergeCell ref="C22:C23"/>
    <mergeCell ref="D22:D23"/>
    <mergeCell ref="F16:F17"/>
    <mergeCell ref="G16:G17"/>
    <mergeCell ref="AA16:AA17"/>
    <mergeCell ref="A18:AA18"/>
    <mergeCell ref="A16:A17"/>
    <mergeCell ref="B16:B17"/>
    <mergeCell ref="C16:C17"/>
    <mergeCell ref="D16:D17"/>
    <mergeCell ref="E16:E17"/>
    <mergeCell ref="F13:F14"/>
    <mergeCell ref="G13:G14"/>
    <mergeCell ref="AA13:AA14"/>
    <mergeCell ref="A15:AA15"/>
    <mergeCell ref="A13:A14"/>
    <mergeCell ref="B13:B14"/>
    <mergeCell ref="C13:C14"/>
    <mergeCell ref="D13:D14"/>
    <mergeCell ref="E13:E14"/>
    <mergeCell ref="A12:AA12"/>
    <mergeCell ref="A10:A11"/>
    <mergeCell ref="B10:B11"/>
    <mergeCell ref="C10:C11"/>
    <mergeCell ref="D10:D11"/>
    <mergeCell ref="E10:E11"/>
    <mergeCell ref="A1:AA1"/>
    <mergeCell ref="F2:G2"/>
    <mergeCell ref="A4:AA4"/>
    <mergeCell ref="A5:AA5"/>
    <mergeCell ref="F10:F11"/>
    <mergeCell ref="G10:G11"/>
    <mergeCell ref="AA10:AA11"/>
    <mergeCell ref="A6:A9"/>
    <mergeCell ref="B6:H6"/>
    <mergeCell ref="I6:Z6"/>
    <mergeCell ref="AA6:AA9"/>
    <mergeCell ref="B7:D7"/>
    <mergeCell ref="E7:H7"/>
    <mergeCell ref="I7:Z7"/>
    <mergeCell ref="B8:Z8"/>
    <mergeCell ref="W2:AA2"/>
    <mergeCell ref="I29:L29"/>
    <mergeCell ref="B34:M34"/>
    <mergeCell ref="B35:G35"/>
    <mergeCell ref="H35:M35"/>
    <mergeCell ref="B36:G37"/>
    <mergeCell ref="H36:M37"/>
  </mergeCells>
  <conditionalFormatting sqref="I21:Z21">
    <cfRule type="colorScale" priority="3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220" priority="18" operator="greaterThan">
      <formula>95%</formula>
    </cfRule>
    <cfRule type="cellIs" dxfId="219" priority="19" operator="greaterThanOrEqual">
      <formula>90%</formula>
    </cfRule>
    <cfRule type="cellIs" dxfId="218" priority="20" operator="lessThan">
      <formula>89.99%</formula>
    </cfRule>
  </conditionalFormatting>
  <conditionalFormatting sqref="AA13">
    <cfRule type="cellIs" dxfId="217" priority="15" operator="greaterThan">
      <formula>95%</formula>
    </cfRule>
    <cfRule type="cellIs" dxfId="216" priority="16" operator="greaterThanOrEqual">
      <formula>90%</formula>
    </cfRule>
    <cfRule type="cellIs" dxfId="215" priority="17" operator="lessThan">
      <formula>89.99%</formula>
    </cfRule>
  </conditionalFormatting>
  <conditionalFormatting sqref="AA16">
    <cfRule type="cellIs" dxfId="214" priority="12" operator="greaterThan">
      <formula>95%</formula>
    </cfRule>
    <cfRule type="cellIs" dxfId="213" priority="13" operator="greaterThanOrEqual">
      <formula>90%</formula>
    </cfRule>
    <cfRule type="cellIs" dxfId="212" priority="14" operator="lessThan">
      <formula>89.99%</formula>
    </cfRule>
  </conditionalFormatting>
  <conditionalFormatting sqref="AA19">
    <cfRule type="cellIs" dxfId="211" priority="9" operator="greaterThan">
      <formula>95%</formula>
    </cfRule>
    <cfRule type="cellIs" dxfId="210" priority="10" operator="greaterThanOrEqual">
      <formula>90%</formula>
    </cfRule>
    <cfRule type="cellIs" dxfId="209" priority="11" operator="lessThan">
      <formula>89.99%</formula>
    </cfRule>
  </conditionalFormatting>
  <conditionalFormatting sqref="AA22">
    <cfRule type="cellIs" dxfId="208" priority="1" operator="greaterThanOrEqual">
      <formula>100%</formula>
    </cfRule>
    <cfRule type="cellIs" dxfId="207" priority="2" operator="lessThan">
      <formula>99.99%</formula>
    </cfRule>
  </conditionalFormatting>
  <conditionalFormatting sqref="AA25">
    <cfRule type="cellIs" dxfId="206" priority="3" operator="greaterThan">
      <formula>95%</formula>
    </cfRule>
    <cfRule type="cellIs" dxfId="205" priority="4" operator="greaterThanOrEqual">
      <formula>90%</formula>
    </cfRule>
    <cfRule type="cellIs" dxfId="204" priority="5" operator="lessThan">
      <formula>89.99%</formula>
    </cfRule>
  </conditionalFormatting>
  <dataValidations count="1">
    <dataValidation showDropDown="1" showInputMessage="1" showErrorMessage="1" sqref="C21 G19:G23 G10:G11 G16:G17 G13:G14 G25:G26" xr:uid="{0497A7E0-B4A3-4301-9D18-A90B4BFCE8FB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D1CE3-7A34-4CC9-8B8E-D8B15B966145}">
  <sheetPr>
    <tabColor rgb="FFFF69C2"/>
  </sheetPr>
  <dimension ref="A1:AM38"/>
  <sheetViews>
    <sheetView showGridLines="0" topLeftCell="C7" zoomScale="60" zoomScaleNormal="60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7</v>
      </c>
      <c r="F2" s="129" t="s">
        <v>25</v>
      </c>
      <c r="G2" s="129"/>
      <c r="H2" s="22">
        <v>160756</v>
      </c>
      <c r="I2" s="21"/>
      <c r="J2" s="2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19</v>
      </c>
      <c r="J10" s="24">
        <v>110</v>
      </c>
      <c r="K10" s="24">
        <v>138</v>
      </c>
      <c r="L10" s="24">
        <v>87</v>
      </c>
      <c r="M10" s="24">
        <v>59</v>
      </c>
      <c r="N10" s="24">
        <v>67</v>
      </c>
      <c r="O10" s="24">
        <v>93</v>
      </c>
      <c r="P10" s="24">
        <v>154</v>
      </c>
      <c r="Q10" s="24">
        <v>223</v>
      </c>
      <c r="R10" s="24">
        <v>98</v>
      </c>
      <c r="S10" s="24">
        <v>74</v>
      </c>
      <c r="T10" s="24">
        <v>76</v>
      </c>
      <c r="U10" s="24">
        <v>37</v>
      </c>
      <c r="V10" s="24">
        <v>136</v>
      </c>
      <c r="W10" s="24">
        <v>148</v>
      </c>
      <c r="X10" s="24">
        <v>206</v>
      </c>
      <c r="Y10" s="24">
        <v>172</v>
      </c>
      <c r="Z10" s="24">
        <v>56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19</v>
      </c>
      <c r="J11" s="44">
        <v>110</v>
      </c>
      <c r="K11" s="44">
        <v>138</v>
      </c>
      <c r="L11" s="44">
        <v>87</v>
      </c>
      <c r="M11" s="44">
        <v>59</v>
      </c>
      <c r="N11" s="44">
        <v>67</v>
      </c>
      <c r="O11" s="44">
        <v>93</v>
      </c>
      <c r="P11" s="44">
        <v>154</v>
      </c>
      <c r="Q11" s="44">
        <v>223</v>
      </c>
      <c r="R11" s="44">
        <v>98</v>
      </c>
      <c r="S11" s="44">
        <v>74</v>
      </c>
      <c r="T11" s="44">
        <v>76</v>
      </c>
      <c r="U11" s="44">
        <v>37</v>
      </c>
      <c r="V11" s="44">
        <v>136</v>
      </c>
      <c r="W11" s="44">
        <v>148</v>
      </c>
      <c r="X11" s="44">
        <v>206</v>
      </c>
      <c r="Y11" s="44">
        <v>172</v>
      </c>
      <c r="Z11" s="44">
        <v>56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19</v>
      </c>
      <c r="J13" s="24">
        <v>110</v>
      </c>
      <c r="K13" s="24">
        <v>135</v>
      </c>
      <c r="L13" s="24">
        <v>87</v>
      </c>
      <c r="M13" s="24">
        <v>59</v>
      </c>
      <c r="N13" s="24">
        <v>66</v>
      </c>
      <c r="O13" s="24">
        <v>93</v>
      </c>
      <c r="P13" s="24">
        <v>153</v>
      </c>
      <c r="Q13" s="24">
        <v>223</v>
      </c>
      <c r="R13" s="24">
        <v>97</v>
      </c>
      <c r="S13" s="24">
        <v>74</v>
      </c>
      <c r="T13" s="24">
        <v>76</v>
      </c>
      <c r="U13" s="24">
        <v>36</v>
      </c>
      <c r="V13" s="24">
        <v>135</v>
      </c>
      <c r="W13" s="24">
        <v>145</v>
      </c>
      <c r="X13" s="24">
        <v>205</v>
      </c>
      <c r="Y13" s="24">
        <v>171</v>
      </c>
      <c r="Z13" s="24">
        <v>55</v>
      </c>
      <c r="AA13" s="119">
        <f>IFERROR(SUM(I13:Z13)/SUM(I14:Z14),0)</f>
        <v>0.99283154121863804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19</v>
      </c>
      <c r="J14" s="44">
        <v>110</v>
      </c>
      <c r="K14" s="44">
        <v>138</v>
      </c>
      <c r="L14" s="44">
        <v>87</v>
      </c>
      <c r="M14" s="44">
        <v>59</v>
      </c>
      <c r="N14" s="44">
        <v>67</v>
      </c>
      <c r="O14" s="44">
        <v>93</v>
      </c>
      <c r="P14" s="44">
        <v>154</v>
      </c>
      <c r="Q14" s="44">
        <v>223</v>
      </c>
      <c r="R14" s="44">
        <v>98</v>
      </c>
      <c r="S14" s="44">
        <v>74</v>
      </c>
      <c r="T14" s="44">
        <v>76</v>
      </c>
      <c r="U14" s="44">
        <v>37</v>
      </c>
      <c r="V14" s="44">
        <v>136</v>
      </c>
      <c r="W14" s="44">
        <v>148</v>
      </c>
      <c r="X14" s="44">
        <v>206</v>
      </c>
      <c r="Y14" s="44">
        <v>172</v>
      </c>
      <c r="Z14" s="44">
        <v>56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19</v>
      </c>
      <c r="J16" s="24">
        <v>110</v>
      </c>
      <c r="K16" s="24">
        <v>135</v>
      </c>
      <c r="L16" s="24">
        <v>87</v>
      </c>
      <c r="M16" s="24">
        <v>59</v>
      </c>
      <c r="N16" s="24">
        <v>66</v>
      </c>
      <c r="O16" s="24">
        <v>93</v>
      </c>
      <c r="P16" s="24">
        <v>153</v>
      </c>
      <c r="Q16" s="24">
        <v>223</v>
      </c>
      <c r="R16" s="24">
        <v>97</v>
      </c>
      <c r="S16" s="24">
        <v>74</v>
      </c>
      <c r="T16" s="24">
        <v>76</v>
      </c>
      <c r="U16" s="24">
        <v>36</v>
      </c>
      <c r="V16" s="24">
        <v>135</v>
      </c>
      <c r="W16" s="24">
        <v>145</v>
      </c>
      <c r="X16" s="24">
        <v>205</v>
      </c>
      <c r="Y16" s="24">
        <v>171</v>
      </c>
      <c r="Z16" s="24">
        <v>55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19</v>
      </c>
      <c r="J17" s="44">
        <v>110</v>
      </c>
      <c r="K17" s="44">
        <v>135</v>
      </c>
      <c r="L17" s="44">
        <v>87</v>
      </c>
      <c r="M17" s="44">
        <v>59</v>
      </c>
      <c r="N17" s="44">
        <v>66</v>
      </c>
      <c r="O17" s="44">
        <v>93</v>
      </c>
      <c r="P17" s="44">
        <v>153</v>
      </c>
      <c r="Q17" s="44">
        <v>223</v>
      </c>
      <c r="R17" s="44">
        <v>97</v>
      </c>
      <c r="S17" s="44">
        <v>74</v>
      </c>
      <c r="T17" s="44">
        <v>76</v>
      </c>
      <c r="U17" s="44">
        <v>36</v>
      </c>
      <c r="V17" s="44">
        <v>135</v>
      </c>
      <c r="W17" s="44">
        <v>145</v>
      </c>
      <c r="X17" s="44">
        <v>205</v>
      </c>
      <c r="Y17" s="44">
        <v>171</v>
      </c>
      <c r="Z17" s="44">
        <v>55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121</v>
      </c>
      <c r="J19" s="24">
        <v>183</v>
      </c>
      <c r="K19" s="24">
        <v>90</v>
      </c>
      <c r="L19" s="24">
        <v>121</v>
      </c>
      <c r="M19" s="24">
        <v>51</v>
      </c>
      <c r="N19" s="24">
        <v>44</v>
      </c>
      <c r="O19" s="24">
        <v>60</v>
      </c>
      <c r="P19" s="24">
        <v>137</v>
      </c>
      <c r="Q19" s="24">
        <v>153</v>
      </c>
      <c r="R19" s="24">
        <v>208</v>
      </c>
      <c r="S19" s="24">
        <v>94</v>
      </c>
      <c r="T19" s="24">
        <v>75</v>
      </c>
      <c r="U19" s="24">
        <v>31</v>
      </c>
      <c r="V19" s="24">
        <v>115</v>
      </c>
      <c r="W19" s="24">
        <v>71</v>
      </c>
      <c r="X19" s="24">
        <v>193</v>
      </c>
      <c r="Y19" s="24">
        <v>150</v>
      </c>
      <c r="Z19" s="24">
        <v>113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121</v>
      </c>
      <c r="J20" s="44">
        <v>183</v>
      </c>
      <c r="K20" s="44">
        <v>90</v>
      </c>
      <c r="L20" s="44">
        <v>121</v>
      </c>
      <c r="M20" s="44">
        <v>51</v>
      </c>
      <c r="N20" s="44">
        <v>44</v>
      </c>
      <c r="O20" s="44">
        <v>60</v>
      </c>
      <c r="P20" s="44">
        <v>137</v>
      </c>
      <c r="Q20" s="44">
        <v>153</v>
      </c>
      <c r="R20" s="44">
        <v>208</v>
      </c>
      <c r="S20" s="44">
        <v>94</v>
      </c>
      <c r="T20" s="44">
        <v>75</v>
      </c>
      <c r="U20" s="44">
        <v>31</v>
      </c>
      <c r="V20" s="44">
        <v>115</v>
      </c>
      <c r="W20" s="44">
        <v>71</v>
      </c>
      <c r="X20" s="44">
        <v>193</v>
      </c>
      <c r="Y20" s="44">
        <v>150</v>
      </c>
      <c r="Z20" s="44">
        <v>113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345</v>
      </c>
      <c r="J22" s="24">
        <v>503</v>
      </c>
      <c r="K22" s="24">
        <v>585</v>
      </c>
      <c r="L22" s="24">
        <v>703</v>
      </c>
      <c r="M22" s="24">
        <v>794</v>
      </c>
      <c r="N22" s="24">
        <v>795</v>
      </c>
      <c r="O22" s="24">
        <v>773</v>
      </c>
      <c r="P22" s="24">
        <v>773</v>
      </c>
      <c r="Q22" s="24">
        <v>690</v>
      </c>
      <c r="R22" s="24">
        <v>789</v>
      </c>
      <c r="S22" s="24">
        <v>815</v>
      </c>
      <c r="T22" s="24">
        <v>802</v>
      </c>
      <c r="U22" s="24">
        <v>767</v>
      </c>
      <c r="V22" s="24">
        <v>771</v>
      </c>
      <c r="W22" s="24">
        <v>606</v>
      </c>
      <c r="X22" s="24">
        <v>621</v>
      </c>
      <c r="Y22" s="24">
        <v>585</v>
      </c>
      <c r="Z22" s="24">
        <v>643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345</v>
      </c>
      <c r="J23" s="44">
        <v>503</v>
      </c>
      <c r="K23" s="44">
        <v>585</v>
      </c>
      <c r="L23" s="44">
        <v>703</v>
      </c>
      <c r="M23" s="44">
        <v>794</v>
      </c>
      <c r="N23" s="44">
        <v>795</v>
      </c>
      <c r="O23" s="44">
        <v>773</v>
      </c>
      <c r="P23" s="44">
        <v>773</v>
      </c>
      <c r="Q23" s="44">
        <v>690</v>
      </c>
      <c r="R23" s="44">
        <v>789</v>
      </c>
      <c r="S23" s="44">
        <v>815</v>
      </c>
      <c r="T23" s="44">
        <v>802</v>
      </c>
      <c r="U23" s="44">
        <v>767</v>
      </c>
      <c r="V23" s="44">
        <v>771</v>
      </c>
      <c r="W23" s="44">
        <v>606</v>
      </c>
      <c r="X23" s="44">
        <v>621</v>
      </c>
      <c r="Y23" s="44">
        <v>585</v>
      </c>
      <c r="Z23" s="44">
        <v>643</v>
      </c>
      <c r="AA23" s="119"/>
    </row>
    <row r="24" spans="1:39" s="4" customFormat="1" ht="8.2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0</v>
      </c>
      <c r="J25" s="24">
        <v>25</v>
      </c>
      <c r="K25" s="24">
        <v>1</v>
      </c>
      <c r="L25" s="24">
        <v>3</v>
      </c>
      <c r="M25" s="24">
        <v>18</v>
      </c>
      <c r="N25" s="24">
        <v>43</v>
      </c>
      <c r="O25" s="24">
        <v>82</v>
      </c>
      <c r="P25" s="24">
        <v>137</v>
      </c>
      <c r="Q25" s="24">
        <v>236</v>
      </c>
      <c r="R25" s="24">
        <v>109</v>
      </c>
      <c r="S25" s="24">
        <v>94</v>
      </c>
      <c r="T25" s="24">
        <v>88</v>
      </c>
      <c r="U25" s="24">
        <v>66</v>
      </c>
      <c r="V25" s="24">
        <v>111</v>
      </c>
      <c r="W25" s="24">
        <v>234</v>
      </c>
      <c r="X25" s="24">
        <v>178</v>
      </c>
      <c r="Y25" s="24">
        <v>186</v>
      </c>
      <c r="Z25" s="24">
        <v>55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0</v>
      </c>
      <c r="J26" s="44">
        <v>25</v>
      </c>
      <c r="K26" s="44">
        <v>1</v>
      </c>
      <c r="L26" s="44">
        <v>3</v>
      </c>
      <c r="M26" s="44">
        <v>18</v>
      </c>
      <c r="N26" s="44">
        <v>43</v>
      </c>
      <c r="O26" s="44">
        <v>82</v>
      </c>
      <c r="P26" s="44">
        <v>137</v>
      </c>
      <c r="Q26" s="44">
        <v>236</v>
      </c>
      <c r="R26" s="44">
        <v>109</v>
      </c>
      <c r="S26" s="44">
        <v>94</v>
      </c>
      <c r="T26" s="44">
        <v>88</v>
      </c>
      <c r="U26" s="44">
        <v>66</v>
      </c>
      <c r="V26" s="44">
        <v>111</v>
      </c>
      <c r="W26" s="44">
        <v>234</v>
      </c>
      <c r="X26" s="44">
        <v>178</v>
      </c>
      <c r="Y26" s="44">
        <v>186</v>
      </c>
      <c r="Z26" s="44">
        <v>55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AA25:AA26"/>
    <mergeCell ref="I29:L29"/>
    <mergeCell ref="B34:M34"/>
    <mergeCell ref="B35:G35"/>
    <mergeCell ref="H35:M35"/>
    <mergeCell ref="B36:G37"/>
    <mergeCell ref="H36:M37"/>
    <mergeCell ref="G22:G23"/>
    <mergeCell ref="AA22:AA23"/>
    <mergeCell ref="A24:AA24"/>
    <mergeCell ref="A25:A26"/>
    <mergeCell ref="B25:B26"/>
    <mergeCell ref="C25:C26"/>
    <mergeCell ref="D25:D26"/>
    <mergeCell ref="E25:E26"/>
    <mergeCell ref="F25:F26"/>
    <mergeCell ref="G25:G26"/>
    <mergeCell ref="A22:A23"/>
    <mergeCell ref="B22:B23"/>
    <mergeCell ref="C22:C23"/>
    <mergeCell ref="D22:D23"/>
    <mergeCell ref="E22:E23"/>
    <mergeCell ref="F22:F23"/>
    <mergeCell ref="A18:AA18"/>
    <mergeCell ref="A19:A20"/>
    <mergeCell ref="B19:B20"/>
    <mergeCell ref="C19:C20"/>
    <mergeCell ref="D19:D20"/>
    <mergeCell ref="E19:E20"/>
    <mergeCell ref="F19:F20"/>
    <mergeCell ref="G19:G20"/>
    <mergeCell ref="AA19:AA20"/>
    <mergeCell ref="A15:AA15"/>
    <mergeCell ref="A16:A17"/>
    <mergeCell ref="B16:B17"/>
    <mergeCell ref="C16:C17"/>
    <mergeCell ref="D16:D17"/>
    <mergeCell ref="E16:E17"/>
    <mergeCell ref="F16:F17"/>
    <mergeCell ref="G16:G17"/>
    <mergeCell ref="AA16:AA17"/>
    <mergeCell ref="A10:A11"/>
    <mergeCell ref="B10:B11"/>
    <mergeCell ref="C10:C11"/>
    <mergeCell ref="D10:D11"/>
    <mergeCell ref="E10:E11"/>
    <mergeCell ref="A12:AA12"/>
    <mergeCell ref="A13:A14"/>
    <mergeCell ref="B13:B14"/>
    <mergeCell ref="C13:C14"/>
    <mergeCell ref="D13:D14"/>
    <mergeCell ref="E13:E14"/>
    <mergeCell ref="F13:F14"/>
    <mergeCell ref="G13:G14"/>
    <mergeCell ref="AA13:AA14"/>
    <mergeCell ref="AA10:AA11"/>
    <mergeCell ref="F10:F11"/>
    <mergeCell ref="AA6:AA9"/>
    <mergeCell ref="B7:D7"/>
    <mergeCell ref="A1:AA1"/>
    <mergeCell ref="F2:G2"/>
    <mergeCell ref="W2:AA2"/>
    <mergeCell ref="A4:AA4"/>
    <mergeCell ref="A5:AA5"/>
    <mergeCell ref="E7:H7"/>
    <mergeCell ref="I7:Z7"/>
    <mergeCell ref="B8:Z8"/>
    <mergeCell ref="A6:A9"/>
    <mergeCell ref="B6:H6"/>
    <mergeCell ref="I6:Z6"/>
    <mergeCell ref="G10:G11"/>
  </mergeCells>
  <conditionalFormatting sqref="I21:Z21">
    <cfRule type="colorScale" priority="8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203" priority="15" operator="greaterThan">
      <formula>95%</formula>
    </cfRule>
    <cfRule type="cellIs" dxfId="202" priority="16" operator="greaterThanOrEqual">
      <formula>90%</formula>
    </cfRule>
    <cfRule type="cellIs" dxfId="201" priority="17" operator="lessThan">
      <formula>89.99%</formula>
    </cfRule>
  </conditionalFormatting>
  <conditionalFormatting sqref="AA13">
    <cfRule type="cellIs" dxfId="200" priority="12" operator="greaterThan">
      <formula>95%</formula>
    </cfRule>
    <cfRule type="cellIs" dxfId="199" priority="13" operator="greaterThanOrEqual">
      <formula>90%</formula>
    </cfRule>
    <cfRule type="cellIs" dxfId="198" priority="14" operator="lessThan">
      <formula>89.99%</formula>
    </cfRule>
  </conditionalFormatting>
  <conditionalFormatting sqref="AA16">
    <cfRule type="cellIs" dxfId="197" priority="9" operator="greaterThan">
      <formula>95%</formula>
    </cfRule>
    <cfRule type="cellIs" dxfId="196" priority="10" operator="greaterThanOrEqual">
      <formula>90%</formula>
    </cfRule>
    <cfRule type="cellIs" dxfId="195" priority="11" operator="lessThan">
      <formula>89.99%</formula>
    </cfRule>
  </conditionalFormatting>
  <conditionalFormatting sqref="AA19">
    <cfRule type="cellIs" dxfId="194" priority="6" operator="greaterThan">
      <formula>95%</formula>
    </cfRule>
    <cfRule type="cellIs" dxfId="193" priority="7" operator="greaterThanOrEqual">
      <formula>90%</formula>
    </cfRule>
    <cfRule type="cellIs" dxfId="192" priority="8" operator="lessThan">
      <formula>89.99%</formula>
    </cfRule>
  </conditionalFormatting>
  <conditionalFormatting sqref="AA22">
    <cfRule type="cellIs" dxfId="191" priority="1" operator="greaterThanOrEqual">
      <formula>100%</formula>
    </cfRule>
    <cfRule type="cellIs" dxfId="190" priority="2" operator="lessThan">
      <formula>99.99%</formula>
    </cfRule>
  </conditionalFormatting>
  <conditionalFormatting sqref="AA25">
    <cfRule type="cellIs" dxfId="189" priority="3" operator="greaterThan">
      <formula>95%</formula>
    </cfRule>
    <cfRule type="cellIs" dxfId="188" priority="4" operator="greaterThanOrEqual">
      <formula>90%</formula>
    </cfRule>
    <cfRule type="cellIs" dxfId="187" priority="5" operator="lessThan">
      <formula>89.99%</formula>
    </cfRule>
  </conditionalFormatting>
  <dataValidations count="1">
    <dataValidation showDropDown="1" showInputMessage="1" showErrorMessage="1" sqref="C21 G19:G23 G10:G11 G16:G17 G13:G14 G25:G26" xr:uid="{C259F247-9980-4061-BB88-1CB5E5C2FB23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0070C0"/>
  </sheetPr>
  <dimension ref="A1:AM48"/>
  <sheetViews>
    <sheetView showGridLines="0" topLeftCell="A3" zoomScale="66" zoomScaleNormal="66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8</v>
      </c>
      <c r="F2" s="129" t="s">
        <v>25</v>
      </c>
      <c r="G2" s="129"/>
      <c r="H2" s="22">
        <v>160851</v>
      </c>
      <c r="I2" s="21"/>
      <c r="J2" s="21"/>
      <c r="K2" s="21"/>
      <c r="L2" s="21"/>
      <c r="M2" s="21"/>
      <c r="N2" s="21"/>
      <c r="O2" s="21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64">
        <v>81</v>
      </c>
      <c r="J10" s="64">
        <v>422</v>
      </c>
      <c r="K10" s="64">
        <v>392</v>
      </c>
      <c r="L10" s="64">
        <v>379</v>
      </c>
      <c r="M10" s="24">
        <v>419</v>
      </c>
      <c r="N10" s="24">
        <v>439</v>
      </c>
      <c r="O10" s="24">
        <v>467</v>
      </c>
      <c r="P10" s="24">
        <v>432</v>
      </c>
      <c r="Q10" s="24">
        <v>465</v>
      </c>
      <c r="R10" s="24">
        <v>369</v>
      </c>
      <c r="S10" s="24">
        <v>601</v>
      </c>
      <c r="T10" s="24">
        <v>563</v>
      </c>
      <c r="U10" s="24">
        <v>528</v>
      </c>
      <c r="V10" s="24">
        <v>650</v>
      </c>
      <c r="W10" s="24">
        <v>733</v>
      </c>
      <c r="X10" s="24">
        <v>669</v>
      </c>
      <c r="Y10" s="24">
        <v>715</v>
      </c>
      <c r="Z10" s="24">
        <v>550</v>
      </c>
      <c r="AA10" s="119">
        <f>IFERROR(SUM(I10:Z10)/SUM(I11:Z11),0)</f>
        <v>0.99752697841726623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65">
        <v>81</v>
      </c>
      <c r="J11" s="65">
        <v>422</v>
      </c>
      <c r="K11" s="65">
        <v>392</v>
      </c>
      <c r="L11" s="65">
        <v>379</v>
      </c>
      <c r="M11" s="44">
        <v>423</v>
      </c>
      <c r="N11" s="44">
        <v>440</v>
      </c>
      <c r="O11" s="44">
        <v>470</v>
      </c>
      <c r="P11" s="44">
        <v>433</v>
      </c>
      <c r="Q11" s="44">
        <v>470</v>
      </c>
      <c r="R11" s="44">
        <v>371</v>
      </c>
      <c r="S11" s="44">
        <v>601</v>
      </c>
      <c r="T11" s="44">
        <v>564</v>
      </c>
      <c r="U11" s="44">
        <v>529</v>
      </c>
      <c r="V11" s="44">
        <v>651</v>
      </c>
      <c r="W11" s="44">
        <v>734</v>
      </c>
      <c r="X11" s="44">
        <v>669</v>
      </c>
      <c r="Y11" s="44">
        <v>717</v>
      </c>
      <c r="Z11" s="44">
        <v>550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66">
        <v>80</v>
      </c>
      <c r="J13" s="66">
        <v>416</v>
      </c>
      <c r="K13" s="66">
        <v>388</v>
      </c>
      <c r="L13" s="66">
        <v>376</v>
      </c>
      <c r="M13" s="24">
        <v>413</v>
      </c>
      <c r="N13" s="24">
        <v>434</v>
      </c>
      <c r="O13" s="24">
        <v>465</v>
      </c>
      <c r="P13" s="24">
        <v>429</v>
      </c>
      <c r="Q13" s="24">
        <v>459</v>
      </c>
      <c r="R13" s="24">
        <v>366</v>
      </c>
      <c r="S13" s="24">
        <v>598</v>
      </c>
      <c r="T13" s="24">
        <v>559</v>
      </c>
      <c r="U13" s="24">
        <v>523</v>
      </c>
      <c r="V13" s="24">
        <v>645</v>
      </c>
      <c r="W13" s="24">
        <v>725</v>
      </c>
      <c r="X13" s="24">
        <v>663</v>
      </c>
      <c r="Y13" s="24">
        <v>710</v>
      </c>
      <c r="Z13" s="24">
        <v>548</v>
      </c>
      <c r="AA13" s="119">
        <f>IFERROR(SUM(I13:Z13)/SUM(I14:Z14),0)</f>
        <v>0.99132296596799641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67">
        <v>81</v>
      </c>
      <c r="J14" s="67">
        <v>422</v>
      </c>
      <c r="K14" s="67">
        <v>392</v>
      </c>
      <c r="L14" s="67">
        <v>379</v>
      </c>
      <c r="M14" s="44">
        <v>419</v>
      </c>
      <c r="N14" s="44">
        <v>439</v>
      </c>
      <c r="O14" s="44">
        <v>467</v>
      </c>
      <c r="P14" s="44">
        <v>432</v>
      </c>
      <c r="Q14" s="44">
        <v>465</v>
      </c>
      <c r="R14" s="44">
        <v>369</v>
      </c>
      <c r="S14" s="44">
        <v>601</v>
      </c>
      <c r="T14" s="44">
        <v>563</v>
      </c>
      <c r="U14" s="44">
        <v>528</v>
      </c>
      <c r="V14" s="44">
        <v>650</v>
      </c>
      <c r="W14" s="44">
        <v>733</v>
      </c>
      <c r="X14" s="44">
        <v>669</v>
      </c>
      <c r="Y14" s="44">
        <v>715</v>
      </c>
      <c r="Z14" s="44">
        <v>550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66">
        <v>81</v>
      </c>
      <c r="J16" s="66">
        <v>422</v>
      </c>
      <c r="K16" s="66">
        <v>392</v>
      </c>
      <c r="L16" s="66">
        <v>379</v>
      </c>
      <c r="M16" s="24">
        <v>419</v>
      </c>
      <c r="N16" s="24">
        <v>439</v>
      </c>
      <c r="O16" s="24">
        <v>467</v>
      </c>
      <c r="P16" s="24">
        <v>432</v>
      </c>
      <c r="Q16" s="24">
        <v>465</v>
      </c>
      <c r="R16" s="24">
        <v>369</v>
      </c>
      <c r="S16" s="24">
        <v>601</v>
      </c>
      <c r="T16" s="24">
        <v>563</v>
      </c>
      <c r="U16" s="24">
        <v>528</v>
      </c>
      <c r="V16" s="24">
        <v>650</v>
      </c>
      <c r="W16" s="24">
        <v>733</v>
      </c>
      <c r="X16" s="24">
        <v>669</v>
      </c>
      <c r="Y16" s="24">
        <v>715</v>
      </c>
      <c r="Z16" s="24">
        <v>550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67">
        <v>81</v>
      </c>
      <c r="J17" s="67">
        <v>422</v>
      </c>
      <c r="K17" s="67">
        <v>392</v>
      </c>
      <c r="L17" s="67">
        <v>379</v>
      </c>
      <c r="M17" s="44">
        <v>419</v>
      </c>
      <c r="N17" s="44">
        <v>439</v>
      </c>
      <c r="O17" s="44">
        <v>467</v>
      </c>
      <c r="P17" s="44">
        <v>432</v>
      </c>
      <c r="Q17" s="44">
        <v>465</v>
      </c>
      <c r="R17" s="44">
        <v>369</v>
      </c>
      <c r="S17" s="44">
        <v>601</v>
      </c>
      <c r="T17" s="44">
        <v>563</v>
      </c>
      <c r="U17" s="44">
        <v>528</v>
      </c>
      <c r="V17" s="44">
        <v>650</v>
      </c>
      <c r="W17" s="44">
        <v>733</v>
      </c>
      <c r="X17" s="44">
        <v>669</v>
      </c>
      <c r="Y17" s="44">
        <v>715</v>
      </c>
      <c r="Z17" s="44">
        <v>550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66">
        <v>182</v>
      </c>
      <c r="J19" s="66">
        <v>368</v>
      </c>
      <c r="K19" s="66">
        <v>455</v>
      </c>
      <c r="L19" s="66">
        <v>387</v>
      </c>
      <c r="M19" s="24">
        <v>421</v>
      </c>
      <c r="N19" s="24">
        <v>416</v>
      </c>
      <c r="O19" s="24">
        <v>460</v>
      </c>
      <c r="P19" s="24">
        <v>453</v>
      </c>
      <c r="Q19" s="24">
        <v>445</v>
      </c>
      <c r="R19" s="24">
        <v>337</v>
      </c>
      <c r="S19" s="24">
        <v>522</v>
      </c>
      <c r="T19" s="24">
        <v>570</v>
      </c>
      <c r="U19" s="24">
        <v>502</v>
      </c>
      <c r="V19" s="24">
        <v>635</v>
      </c>
      <c r="W19" s="24">
        <v>683</v>
      </c>
      <c r="X19" s="24">
        <v>680</v>
      </c>
      <c r="Y19" s="24">
        <v>460</v>
      </c>
      <c r="Z19" s="24">
        <v>323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67">
        <v>182</v>
      </c>
      <c r="J20" s="67">
        <v>368</v>
      </c>
      <c r="K20" s="67">
        <v>455</v>
      </c>
      <c r="L20" s="67">
        <v>387</v>
      </c>
      <c r="M20" s="44">
        <v>421</v>
      </c>
      <c r="N20" s="44">
        <v>416</v>
      </c>
      <c r="O20" s="44">
        <v>460</v>
      </c>
      <c r="P20" s="44">
        <v>453</v>
      </c>
      <c r="Q20" s="44">
        <v>445</v>
      </c>
      <c r="R20" s="44">
        <v>337</v>
      </c>
      <c r="S20" s="44">
        <v>522</v>
      </c>
      <c r="T20" s="44">
        <v>570</v>
      </c>
      <c r="U20" s="44">
        <v>502</v>
      </c>
      <c r="V20" s="44">
        <v>635</v>
      </c>
      <c r="W20" s="44">
        <v>683</v>
      </c>
      <c r="X20" s="44">
        <v>680</v>
      </c>
      <c r="Y20" s="44">
        <v>460</v>
      </c>
      <c r="Z20" s="44">
        <v>323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66">
        <v>1067</v>
      </c>
      <c r="J22" s="66">
        <v>964</v>
      </c>
      <c r="K22" s="66">
        <v>999</v>
      </c>
      <c r="L22" s="66">
        <v>923</v>
      </c>
      <c r="M22" s="24">
        <v>956</v>
      </c>
      <c r="N22" s="24">
        <v>968</v>
      </c>
      <c r="O22" s="24">
        <v>996</v>
      </c>
      <c r="P22" s="24">
        <v>995</v>
      </c>
      <c r="Q22" s="24">
        <v>971</v>
      </c>
      <c r="R22" s="24">
        <v>960</v>
      </c>
      <c r="S22" s="24">
        <v>1001</v>
      </c>
      <c r="T22" s="24">
        <v>1048</v>
      </c>
      <c r="U22" s="24">
        <v>1014</v>
      </c>
      <c r="V22" s="24">
        <v>1142</v>
      </c>
      <c r="W22" s="24">
        <v>1233</v>
      </c>
      <c r="X22" s="24">
        <v>1227</v>
      </c>
      <c r="Y22" s="24">
        <v>997</v>
      </c>
      <c r="Z22" s="24">
        <v>679</v>
      </c>
      <c r="AA22" s="119">
        <f>IFERROR(SUM(I22:Z22)/SUM(I23:Z23),0)</f>
        <v>1.0001102657404344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67">
        <v>1066</v>
      </c>
      <c r="J23" s="67">
        <v>963</v>
      </c>
      <c r="K23" s="67">
        <v>999</v>
      </c>
      <c r="L23" s="67">
        <v>923</v>
      </c>
      <c r="M23" s="44">
        <v>956</v>
      </c>
      <c r="N23" s="44">
        <v>968</v>
      </c>
      <c r="O23" s="44">
        <v>996</v>
      </c>
      <c r="P23" s="44">
        <v>995</v>
      </c>
      <c r="Q23" s="44">
        <v>971</v>
      </c>
      <c r="R23" s="44">
        <v>960</v>
      </c>
      <c r="S23" s="44">
        <v>1001</v>
      </c>
      <c r="T23" s="44">
        <v>1048</v>
      </c>
      <c r="U23" s="44">
        <v>1014</v>
      </c>
      <c r="V23" s="44">
        <v>1142</v>
      </c>
      <c r="W23" s="44">
        <v>1233</v>
      </c>
      <c r="X23" s="44">
        <v>1227</v>
      </c>
      <c r="Y23" s="44">
        <v>997</v>
      </c>
      <c r="Z23" s="44">
        <v>679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66">
        <v>116</v>
      </c>
      <c r="J25" s="66">
        <v>471</v>
      </c>
      <c r="K25" s="66">
        <v>409</v>
      </c>
      <c r="L25" s="66">
        <v>463</v>
      </c>
      <c r="M25" s="24">
        <v>388</v>
      </c>
      <c r="N25" s="24">
        <v>400</v>
      </c>
      <c r="O25" s="24">
        <v>432</v>
      </c>
      <c r="P25" s="24">
        <v>454</v>
      </c>
      <c r="Q25" s="24">
        <v>469</v>
      </c>
      <c r="R25" s="24">
        <v>348</v>
      </c>
      <c r="S25" s="24">
        <v>478</v>
      </c>
      <c r="T25" s="24">
        <v>523</v>
      </c>
      <c r="U25" s="24">
        <v>536</v>
      </c>
      <c r="V25" s="24">
        <v>507</v>
      </c>
      <c r="W25" s="24">
        <v>591</v>
      </c>
      <c r="X25" s="24">
        <v>686</v>
      </c>
      <c r="Y25" s="24">
        <v>690</v>
      </c>
      <c r="Z25" s="24">
        <v>641</v>
      </c>
      <c r="AA25" s="119">
        <f>IFERROR(SUM(I25:Z25)/SUM(I26:Z26),0)</f>
        <v>0.99204244031830235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67">
        <v>117</v>
      </c>
      <c r="J26" s="67">
        <v>474</v>
      </c>
      <c r="K26" s="67">
        <v>409</v>
      </c>
      <c r="L26" s="67">
        <v>465</v>
      </c>
      <c r="M26" s="44">
        <v>389</v>
      </c>
      <c r="N26" s="44">
        <v>400</v>
      </c>
      <c r="O26" s="44">
        <v>434</v>
      </c>
      <c r="P26" s="44">
        <v>455</v>
      </c>
      <c r="Q26" s="44">
        <v>470</v>
      </c>
      <c r="R26" s="44">
        <v>350</v>
      </c>
      <c r="S26" s="44">
        <v>480</v>
      </c>
      <c r="T26" s="44">
        <v>523</v>
      </c>
      <c r="U26" s="44">
        <v>542</v>
      </c>
      <c r="V26" s="44">
        <v>508</v>
      </c>
      <c r="W26" s="44">
        <v>596</v>
      </c>
      <c r="X26" s="44">
        <v>686</v>
      </c>
      <c r="Y26" s="44">
        <v>692</v>
      </c>
      <c r="Z26" s="44">
        <v>681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5.1" customHeight="1" thickTop="1" x14ac:dyDescent="0.25"/>
    <row r="39" spans="2:13" ht="8.1" customHeight="1" x14ac:dyDescent="0.25"/>
    <row r="40" spans="2:13" ht="35.1" customHeight="1" x14ac:dyDescent="0.25"/>
    <row r="41" spans="2:13" ht="35.1" customHeight="1" x14ac:dyDescent="0.25"/>
    <row r="42" spans="2:13" ht="8.1" customHeight="1" x14ac:dyDescent="0.25"/>
    <row r="43" spans="2:13" ht="35.1" customHeight="1" x14ac:dyDescent="0.25"/>
    <row r="44" spans="2:13" ht="43.5" customHeight="1" x14ac:dyDescent="0.25"/>
    <row r="45" spans="2:13" ht="8.1" customHeight="1" x14ac:dyDescent="0.25"/>
    <row r="46" spans="2:13" ht="35.1" customHeight="1" x14ac:dyDescent="0.25"/>
    <row r="47" spans="2:13" ht="35.1" customHeight="1" x14ac:dyDescent="0.25"/>
    <row r="48" spans="2:13" ht="39" customHeight="1" x14ac:dyDescent="0.25"/>
  </sheetData>
  <mergeCells count="71">
    <mergeCell ref="G25:G26"/>
    <mergeCell ref="AA25:AA26"/>
    <mergeCell ref="A24:AA24"/>
    <mergeCell ref="A25:A26"/>
    <mergeCell ref="B25:B26"/>
    <mergeCell ref="C25:C26"/>
    <mergeCell ref="D25:D26"/>
    <mergeCell ref="E25:E26"/>
    <mergeCell ref="F25:F26"/>
    <mergeCell ref="E22:E23"/>
    <mergeCell ref="F19:F20"/>
    <mergeCell ref="G19:G20"/>
    <mergeCell ref="AA19:AA20"/>
    <mergeCell ref="A19:A20"/>
    <mergeCell ref="B19:B20"/>
    <mergeCell ref="C19:C20"/>
    <mergeCell ref="D19:D20"/>
    <mergeCell ref="E19:E20"/>
    <mergeCell ref="F22:F23"/>
    <mergeCell ref="G22:G23"/>
    <mergeCell ref="AA22:AA23"/>
    <mergeCell ref="A22:A23"/>
    <mergeCell ref="B22:B23"/>
    <mergeCell ref="C22:C23"/>
    <mergeCell ref="D22:D23"/>
    <mergeCell ref="F16:F17"/>
    <mergeCell ref="G16:G17"/>
    <mergeCell ref="AA16:AA17"/>
    <mergeCell ref="A18:AA18"/>
    <mergeCell ref="A16:A17"/>
    <mergeCell ref="B16:B17"/>
    <mergeCell ref="C16:C17"/>
    <mergeCell ref="D16:D17"/>
    <mergeCell ref="E16:E17"/>
    <mergeCell ref="F13:F14"/>
    <mergeCell ref="G13:G14"/>
    <mergeCell ref="AA13:AA14"/>
    <mergeCell ref="A15:AA15"/>
    <mergeCell ref="A13:A14"/>
    <mergeCell ref="B13:B14"/>
    <mergeCell ref="C13:C14"/>
    <mergeCell ref="D13:D14"/>
    <mergeCell ref="E13:E14"/>
    <mergeCell ref="A12:AA12"/>
    <mergeCell ref="A10:A11"/>
    <mergeCell ref="B10:B11"/>
    <mergeCell ref="C10:C11"/>
    <mergeCell ref="D10:D11"/>
    <mergeCell ref="E10:E11"/>
    <mergeCell ref="A1:AA1"/>
    <mergeCell ref="F2:G2"/>
    <mergeCell ref="A4:AA4"/>
    <mergeCell ref="A5:AA5"/>
    <mergeCell ref="F10:F11"/>
    <mergeCell ref="G10:G11"/>
    <mergeCell ref="AA10:AA11"/>
    <mergeCell ref="A6:A9"/>
    <mergeCell ref="B6:H6"/>
    <mergeCell ref="I6:Z6"/>
    <mergeCell ref="AA6:AA9"/>
    <mergeCell ref="B7:D7"/>
    <mergeCell ref="E7:H7"/>
    <mergeCell ref="I7:Z7"/>
    <mergeCell ref="B8:Z8"/>
    <mergeCell ref="W2:AA2"/>
    <mergeCell ref="I29:L29"/>
    <mergeCell ref="B34:M34"/>
    <mergeCell ref="B35:G35"/>
    <mergeCell ref="H35:M35"/>
    <mergeCell ref="B36:G37"/>
    <mergeCell ref="H36:M37"/>
  </mergeCells>
  <conditionalFormatting sqref="I21:Z21">
    <cfRule type="colorScale" priority="3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186" priority="18" operator="greaterThan">
      <formula>95%</formula>
    </cfRule>
    <cfRule type="cellIs" dxfId="185" priority="19" operator="greaterThanOrEqual">
      <formula>90%</formula>
    </cfRule>
    <cfRule type="cellIs" dxfId="184" priority="20" operator="lessThan">
      <formula>89.99%</formula>
    </cfRule>
  </conditionalFormatting>
  <conditionalFormatting sqref="AA13">
    <cfRule type="cellIs" dxfId="183" priority="15" operator="greaterThan">
      <formula>95%</formula>
    </cfRule>
    <cfRule type="cellIs" dxfId="182" priority="16" operator="greaterThanOrEqual">
      <formula>90%</formula>
    </cfRule>
    <cfRule type="cellIs" dxfId="181" priority="17" operator="lessThan">
      <formula>89.99%</formula>
    </cfRule>
  </conditionalFormatting>
  <conditionalFormatting sqref="AA16">
    <cfRule type="cellIs" dxfId="180" priority="12" operator="greaterThan">
      <formula>95%</formula>
    </cfRule>
    <cfRule type="cellIs" dxfId="179" priority="13" operator="greaterThanOrEqual">
      <formula>90%</formula>
    </cfRule>
    <cfRule type="cellIs" dxfId="178" priority="14" operator="lessThan">
      <formula>89.99%</formula>
    </cfRule>
  </conditionalFormatting>
  <conditionalFormatting sqref="AA19">
    <cfRule type="cellIs" dxfId="177" priority="9" operator="greaterThan">
      <formula>95%</formula>
    </cfRule>
    <cfRule type="cellIs" dxfId="176" priority="10" operator="greaterThanOrEqual">
      <formula>90%</formula>
    </cfRule>
    <cfRule type="cellIs" dxfId="175" priority="11" operator="lessThan">
      <formula>89.99%</formula>
    </cfRule>
  </conditionalFormatting>
  <conditionalFormatting sqref="AA22">
    <cfRule type="cellIs" dxfId="174" priority="1" operator="greaterThanOrEqual">
      <formula>100%</formula>
    </cfRule>
    <cfRule type="cellIs" dxfId="173" priority="2" operator="lessThan">
      <formula>99.99%</formula>
    </cfRule>
  </conditionalFormatting>
  <conditionalFormatting sqref="AA25">
    <cfRule type="cellIs" dxfId="172" priority="3" operator="greaterThan">
      <formula>95%</formula>
    </cfRule>
    <cfRule type="cellIs" dxfId="171" priority="4" operator="greaterThanOrEqual">
      <formula>90%</formula>
    </cfRule>
    <cfRule type="cellIs" dxfId="170" priority="5" operator="lessThan">
      <formula>89.99%</formula>
    </cfRule>
  </conditionalFormatting>
  <dataValidations count="1">
    <dataValidation showDropDown="1" showInputMessage="1" showErrorMessage="1" sqref="C21 G19:G23 G10:G11 G16:G17 G13:G14 G25:G26" xr:uid="{9717613E-6FCD-42F4-840C-A4096029BD52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0070C0"/>
  </sheetPr>
  <dimension ref="A1:AM38"/>
  <sheetViews>
    <sheetView showGridLines="0" topLeftCell="C10" zoomScale="75" zoomScaleNormal="75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8</v>
      </c>
      <c r="F2" s="129" t="s">
        <v>25</v>
      </c>
      <c r="G2" s="129"/>
      <c r="H2" s="22">
        <v>160852</v>
      </c>
      <c r="I2" s="21"/>
      <c r="J2" s="21"/>
      <c r="K2" s="21"/>
      <c r="L2" s="21"/>
      <c r="M2" s="21"/>
      <c r="N2" s="21"/>
      <c r="O2" s="21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134</v>
      </c>
      <c r="J10" s="24">
        <v>873</v>
      </c>
      <c r="K10" s="24">
        <v>868</v>
      </c>
      <c r="L10" s="24">
        <v>904</v>
      </c>
      <c r="M10" s="24">
        <v>894</v>
      </c>
      <c r="N10" s="24">
        <v>957</v>
      </c>
      <c r="O10" s="24">
        <v>944</v>
      </c>
      <c r="P10" s="24">
        <v>1011</v>
      </c>
      <c r="Q10" s="24">
        <v>951</v>
      </c>
      <c r="R10" s="24">
        <v>616</v>
      </c>
      <c r="S10" s="24">
        <v>999</v>
      </c>
      <c r="T10" s="24">
        <v>1075</v>
      </c>
      <c r="U10" s="24">
        <v>915</v>
      </c>
      <c r="V10" s="24">
        <v>1201</v>
      </c>
      <c r="W10" s="24">
        <v>1205</v>
      </c>
      <c r="X10" s="24">
        <v>1129</v>
      </c>
      <c r="Y10" s="24">
        <v>1268</v>
      </c>
      <c r="Z10" s="24">
        <v>1018</v>
      </c>
      <c r="AA10" s="119">
        <f>IFERROR(SUM(I10:Z10)/SUM(I11:Z11),0)</f>
        <v>0.97264751419232753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136</v>
      </c>
      <c r="J11" s="44">
        <v>891</v>
      </c>
      <c r="K11" s="44">
        <v>860</v>
      </c>
      <c r="L11" s="44">
        <v>905</v>
      </c>
      <c r="M11" s="44">
        <v>893</v>
      </c>
      <c r="N11" s="44">
        <v>1000</v>
      </c>
      <c r="O11" s="44">
        <v>979</v>
      </c>
      <c r="P11" s="44">
        <v>1025</v>
      </c>
      <c r="Q11" s="44">
        <v>987</v>
      </c>
      <c r="R11" s="44">
        <v>654</v>
      </c>
      <c r="S11" s="44">
        <v>1061</v>
      </c>
      <c r="T11" s="44">
        <v>1121</v>
      </c>
      <c r="U11" s="44">
        <v>966</v>
      </c>
      <c r="V11" s="44">
        <v>1238</v>
      </c>
      <c r="W11" s="44">
        <v>1234</v>
      </c>
      <c r="X11" s="44">
        <v>1147</v>
      </c>
      <c r="Y11" s="44">
        <v>1306</v>
      </c>
      <c r="Z11" s="44">
        <v>1036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131</v>
      </c>
      <c r="J13" s="24">
        <v>869</v>
      </c>
      <c r="K13" s="24">
        <v>861</v>
      </c>
      <c r="L13" s="24">
        <v>898</v>
      </c>
      <c r="M13" s="24">
        <v>885</v>
      </c>
      <c r="N13" s="24">
        <v>950</v>
      </c>
      <c r="O13" s="24">
        <v>936</v>
      </c>
      <c r="P13" s="24">
        <v>1005</v>
      </c>
      <c r="Q13" s="24">
        <v>939</v>
      </c>
      <c r="R13" s="24">
        <v>610</v>
      </c>
      <c r="S13" s="24">
        <v>994</v>
      </c>
      <c r="T13" s="24">
        <v>1067</v>
      </c>
      <c r="U13" s="24">
        <v>911</v>
      </c>
      <c r="V13" s="24">
        <v>1196</v>
      </c>
      <c r="W13" s="24">
        <v>1196</v>
      </c>
      <c r="X13" s="24">
        <v>1118</v>
      </c>
      <c r="Y13" s="24">
        <v>1260</v>
      </c>
      <c r="Z13" s="24">
        <v>1010</v>
      </c>
      <c r="AA13" s="119">
        <f>IFERROR(SUM(I13:Z13)/SUM(I14:Z14),0)</f>
        <v>0.9925716307039264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134</v>
      </c>
      <c r="J14" s="44">
        <v>873</v>
      </c>
      <c r="K14" s="44">
        <v>868</v>
      </c>
      <c r="L14" s="44">
        <v>904</v>
      </c>
      <c r="M14" s="44">
        <v>894</v>
      </c>
      <c r="N14" s="44">
        <v>957</v>
      </c>
      <c r="O14" s="44">
        <v>944</v>
      </c>
      <c r="P14" s="44">
        <v>1011</v>
      </c>
      <c r="Q14" s="44">
        <v>951</v>
      </c>
      <c r="R14" s="44">
        <v>616</v>
      </c>
      <c r="S14" s="44">
        <v>999</v>
      </c>
      <c r="T14" s="44">
        <v>1075</v>
      </c>
      <c r="U14" s="44">
        <v>915</v>
      </c>
      <c r="V14" s="44">
        <v>1201</v>
      </c>
      <c r="W14" s="44">
        <v>1205</v>
      </c>
      <c r="X14" s="44">
        <v>1129</v>
      </c>
      <c r="Y14" s="44">
        <v>1268</v>
      </c>
      <c r="Z14" s="44">
        <v>1018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134</v>
      </c>
      <c r="J16" s="24">
        <v>873</v>
      </c>
      <c r="K16" s="24">
        <v>867</v>
      </c>
      <c r="L16" s="24">
        <v>904</v>
      </c>
      <c r="M16" s="24">
        <v>894</v>
      </c>
      <c r="N16" s="24">
        <v>957</v>
      </c>
      <c r="O16" s="24">
        <v>944</v>
      </c>
      <c r="P16" s="24">
        <v>1011</v>
      </c>
      <c r="Q16" s="24">
        <v>951</v>
      </c>
      <c r="R16" s="24">
        <v>616</v>
      </c>
      <c r="S16" s="24">
        <v>999</v>
      </c>
      <c r="T16" s="24">
        <v>1075</v>
      </c>
      <c r="U16" s="24">
        <v>915</v>
      </c>
      <c r="V16" s="24">
        <v>1201</v>
      </c>
      <c r="W16" s="24">
        <v>1205</v>
      </c>
      <c r="X16" s="24">
        <v>1128</v>
      </c>
      <c r="Y16" s="24">
        <v>1268</v>
      </c>
      <c r="Z16" s="24">
        <v>1018</v>
      </c>
      <c r="AA16" s="119">
        <f>IFERROR(SUM(I16:Z16)/SUM(I17:Z17),0)</f>
        <v>0.99988208937625278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134</v>
      </c>
      <c r="J17" s="44">
        <v>873</v>
      </c>
      <c r="K17" s="44">
        <v>868</v>
      </c>
      <c r="L17" s="44">
        <v>904</v>
      </c>
      <c r="M17" s="44">
        <v>894</v>
      </c>
      <c r="N17" s="44">
        <v>957</v>
      </c>
      <c r="O17" s="44">
        <v>944</v>
      </c>
      <c r="P17" s="44">
        <v>1011</v>
      </c>
      <c r="Q17" s="44">
        <v>951</v>
      </c>
      <c r="R17" s="44">
        <v>616</v>
      </c>
      <c r="S17" s="44">
        <v>999</v>
      </c>
      <c r="T17" s="44">
        <v>1075</v>
      </c>
      <c r="U17" s="44">
        <v>915</v>
      </c>
      <c r="V17" s="44">
        <v>1201</v>
      </c>
      <c r="W17" s="44">
        <v>1205</v>
      </c>
      <c r="X17" s="44">
        <v>1129</v>
      </c>
      <c r="Y17" s="44">
        <v>1268</v>
      </c>
      <c r="Z17" s="44">
        <v>1018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0</v>
      </c>
      <c r="J19" s="24">
        <v>843</v>
      </c>
      <c r="K19" s="24">
        <v>880</v>
      </c>
      <c r="L19" s="24">
        <v>877</v>
      </c>
      <c r="M19" s="24">
        <v>1077</v>
      </c>
      <c r="N19" s="24">
        <v>710</v>
      </c>
      <c r="O19" s="24">
        <v>935</v>
      </c>
      <c r="P19" s="24">
        <v>978</v>
      </c>
      <c r="Q19" s="24">
        <v>1176</v>
      </c>
      <c r="R19" s="24">
        <v>730</v>
      </c>
      <c r="S19" s="24">
        <v>875</v>
      </c>
      <c r="T19" s="24">
        <v>992</v>
      </c>
      <c r="U19" s="24">
        <v>906</v>
      </c>
      <c r="V19" s="24">
        <v>1199</v>
      </c>
      <c r="W19" s="24">
        <v>977</v>
      </c>
      <c r="X19" s="24">
        <v>1112</v>
      </c>
      <c r="Y19" s="24">
        <v>757</v>
      </c>
      <c r="Z19" s="24">
        <v>763</v>
      </c>
      <c r="AA19" s="119">
        <f>IFERROR(SUM(I19:Z19)/SUM(I20:Z20),0)</f>
        <v>0.99993666075500376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0</v>
      </c>
      <c r="J20" s="44">
        <v>843</v>
      </c>
      <c r="K20" s="44">
        <v>880</v>
      </c>
      <c r="L20" s="44">
        <v>877</v>
      </c>
      <c r="M20" s="44">
        <v>1077</v>
      </c>
      <c r="N20" s="44">
        <v>710</v>
      </c>
      <c r="O20" s="44">
        <v>935</v>
      </c>
      <c r="P20" s="44">
        <v>978</v>
      </c>
      <c r="Q20" s="44">
        <v>1176</v>
      </c>
      <c r="R20" s="44">
        <v>730</v>
      </c>
      <c r="S20" s="44">
        <v>875</v>
      </c>
      <c r="T20" s="44">
        <v>992</v>
      </c>
      <c r="U20" s="44">
        <v>907</v>
      </c>
      <c r="V20" s="44">
        <v>1199</v>
      </c>
      <c r="W20" s="44">
        <v>977</v>
      </c>
      <c r="X20" s="44">
        <v>1112</v>
      </c>
      <c r="Y20" s="44">
        <v>757</v>
      </c>
      <c r="Z20" s="44">
        <v>763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1847</v>
      </c>
      <c r="J22" s="24">
        <v>1743</v>
      </c>
      <c r="K22" s="24">
        <v>1843</v>
      </c>
      <c r="L22" s="24">
        <v>1698</v>
      </c>
      <c r="M22" s="24">
        <v>1894</v>
      </c>
      <c r="N22" s="24">
        <v>1729</v>
      </c>
      <c r="O22" s="24">
        <v>1803</v>
      </c>
      <c r="P22" s="24">
        <v>1823</v>
      </c>
      <c r="Q22" s="24">
        <v>2052</v>
      </c>
      <c r="R22" s="24">
        <v>2070</v>
      </c>
      <c r="S22" s="24">
        <v>1912</v>
      </c>
      <c r="T22" s="24">
        <v>2007</v>
      </c>
      <c r="U22" s="24">
        <v>1941</v>
      </c>
      <c r="V22" s="24">
        <v>2253</v>
      </c>
      <c r="W22" s="24">
        <v>2051</v>
      </c>
      <c r="X22" s="24">
        <v>1961</v>
      </c>
      <c r="Y22" s="24">
        <v>1617</v>
      </c>
      <c r="Z22" s="24">
        <v>1342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1847</v>
      </c>
      <c r="J23" s="44">
        <v>1743</v>
      </c>
      <c r="K23" s="44">
        <v>1843</v>
      </c>
      <c r="L23" s="44">
        <v>1698</v>
      </c>
      <c r="M23" s="44">
        <v>1894</v>
      </c>
      <c r="N23" s="44">
        <v>1729</v>
      </c>
      <c r="O23" s="44">
        <v>1803</v>
      </c>
      <c r="P23" s="44">
        <v>1823</v>
      </c>
      <c r="Q23" s="44">
        <v>2052</v>
      </c>
      <c r="R23" s="44">
        <v>2070</v>
      </c>
      <c r="S23" s="44">
        <v>1912</v>
      </c>
      <c r="T23" s="44">
        <v>2007</v>
      </c>
      <c r="U23" s="44">
        <v>1941</v>
      </c>
      <c r="V23" s="44">
        <v>2253</v>
      </c>
      <c r="W23" s="44">
        <v>2051</v>
      </c>
      <c r="X23" s="44">
        <v>1961</v>
      </c>
      <c r="Y23" s="44">
        <v>1617</v>
      </c>
      <c r="Z23" s="44">
        <v>1342</v>
      </c>
      <c r="AA23" s="119"/>
    </row>
    <row r="24" spans="1:39" s="4" customFormat="1" ht="15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269</v>
      </c>
      <c r="J25" s="24">
        <v>947</v>
      </c>
      <c r="K25" s="24">
        <v>763</v>
      </c>
      <c r="L25" s="24">
        <v>1022</v>
      </c>
      <c r="M25" s="24">
        <v>881</v>
      </c>
      <c r="N25" s="24">
        <v>870</v>
      </c>
      <c r="O25" s="24">
        <v>861</v>
      </c>
      <c r="P25" s="24">
        <v>958</v>
      </c>
      <c r="Q25" s="24">
        <v>947</v>
      </c>
      <c r="R25" s="24">
        <v>712</v>
      </c>
      <c r="S25" s="24">
        <v>1026</v>
      </c>
      <c r="T25" s="24">
        <v>897</v>
      </c>
      <c r="U25" s="24">
        <v>972</v>
      </c>
      <c r="V25" s="24">
        <v>887</v>
      </c>
      <c r="W25" s="24">
        <v>1165</v>
      </c>
      <c r="X25" s="24">
        <v>1203</v>
      </c>
      <c r="Y25" s="24">
        <v>1101</v>
      </c>
      <c r="Z25" s="24">
        <v>1038</v>
      </c>
      <c r="AA25" s="119">
        <f>IFERROR(SUM(I25:Z25)/SUM(I26:Z26),0)</f>
        <v>0.99362406015037597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269</v>
      </c>
      <c r="J26" s="44">
        <v>947</v>
      </c>
      <c r="K26" s="44">
        <v>763</v>
      </c>
      <c r="L26" s="44">
        <v>1030</v>
      </c>
      <c r="M26" s="44">
        <v>882</v>
      </c>
      <c r="N26" s="44">
        <v>874</v>
      </c>
      <c r="O26" s="44">
        <v>867</v>
      </c>
      <c r="P26" s="44">
        <v>1001</v>
      </c>
      <c r="Q26" s="44">
        <v>948</v>
      </c>
      <c r="R26" s="44">
        <v>716</v>
      </c>
      <c r="S26" s="44">
        <v>1038</v>
      </c>
      <c r="T26" s="44">
        <v>900</v>
      </c>
      <c r="U26" s="44">
        <v>976</v>
      </c>
      <c r="V26" s="44">
        <v>888</v>
      </c>
      <c r="W26" s="44">
        <v>1168</v>
      </c>
      <c r="X26" s="44">
        <v>1207</v>
      </c>
      <c r="Y26" s="44">
        <v>1103</v>
      </c>
      <c r="Z26" s="44">
        <v>1048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G25:G26"/>
    <mergeCell ref="AA25:AA26"/>
    <mergeCell ref="A24:AA24"/>
    <mergeCell ref="A25:A26"/>
    <mergeCell ref="B25:B26"/>
    <mergeCell ref="C25:C26"/>
    <mergeCell ref="D25:D26"/>
    <mergeCell ref="E25:E26"/>
    <mergeCell ref="F25:F26"/>
    <mergeCell ref="E22:E23"/>
    <mergeCell ref="F19:F20"/>
    <mergeCell ref="G19:G20"/>
    <mergeCell ref="AA19:AA20"/>
    <mergeCell ref="A19:A20"/>
    <mergeCell ref="B19:B20"/>
    <mergeCell ref="C19:C20"/>
    <mergeCell ref="D19:D20"/>
    <mergeCell ref="E19:E20"/>
    <mergeCell ref="F22:F23"/>
    <mergeCell ref="G22:G23"/>
    <mergeCell ref="AA22:AA23"/>
    <mergeCell ref="A22:A23"/>
    <mergeCell ref="B22:B23"/>
    <mergeCell ref="C22:C23"/>
    <mergeCell ref="D22:D23"/>
    <mergeCell ref="F16:F17"/>
    <mergeCell ref="G16:G17"/>
    <mergeCell ref="AA16:AA17"/>
    <mergeCell ref="A18:AA18"/>
    <mergeCell ref="A16:A17"/>
    <mergeCell ref="B16:B17"/>
    <mergeCell ref="C16:C17"/>
    <mergeCell ref="D16:D17"/>
    <mergeCell ref="E16:E17"/>
    <mergeCell ref="F13:F14"/>
    <mergeCell ref="G13:G14"/>
    <mergeCell ref="AA13:AA14"/>
    <mergeCell ref="A15:AA15"/>
    <mergeCell ref="A13:A14"/>
    <mergeCell ref="B13:B14"/>
    <mergeCell ref="C13:C14"/>
    <mergeCell ref="D13:D14"/>
    <mergeCell ref="E13:E14"/>
    <mergeCell ref="A12:AA12"/>
    <mergeCell ref="A10:A11"/>
    <mergeCell ref="B10:B11"/>
    <mergeCell ref="C10:C11"/>
    <mergeCell ref="D10:D11"/>
    <mergeCell ref="E10:E11"/>
    <mergeCell ref="A1:AA1"/>
    <mergeCell ref="F2:G2"/>
    <mergeCell ref="A4:AA4"/>
    <mergeCell ref="A5:AA5"/>
    <mergeCell ref="F10:F11"/>
    <mergeCell ref="G10:G11"/>
    <mergeCell ref="AA10:AA11"/>
    <mergeCell ref="A6:A9"/>
    <mergeCell ref="B6:H6"/>
    <mergeCell ref="I6:Z6"/>
    <mergeCell ref="AA6:AA9"/>
    <mergeCell ref="B7:D7"/>
    <mergeCell ref="E7:H7"/>
    <mergeCell ref="I7:Z7"/>
    <mergeCell ref="B8:Z8"/>
    <mergeCell ref="W2:AA2"/>
    <mergeCell ref="I29:L29"/>
    <mergeCell ref="B34:M34"/>
    <mergeCell ref="B35:G35"/>
    <mergeCell ref="H35:M35"/>
    <mergeCell ref="B36:G37"/>
    <mergeCell ref="H36:M37"/>
  </mergeCells>
  <conditionalFormatting sqref="I21:Z21">
    <cfRule type="colorScale" priority="3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169" priority="18" operator="greaterThan">
      <formula>95%</formula>
    </cfRule>
    <cfRule type="cellIs" dxfId="168" priority="19" operator="greaterThanOrEqual">
      <formula>90%</formula>
    </cfRule>
    <cfRule type="cellIs" dxfId="167" priority="20" operator="lessThan">
      <formula>89.99%</formula>
    </cfRule>
  </conditionalFormatting>
  <conditionalFormatting sqref="AA13">
    <cfRule type="cellIs" dxfId="166" priority="15" operator="greaterThan">
      <formula>95%</formula>
    </cfRule>
    <cfRule type="cellIs" dxfId="165" priority="16" operator="greaterThanOrEqual">
      <formula>90%</formula>
    </cfRule>
    <cfRule type="cellIs" dxfId="164" priority="17" operator="lessThan">
      <formula>89.99%</formula>
    </cfRule>
  </conditionalFormatting>
  <conditionalFormatting sqref="AA16">
    <cfRule type="cellIs" dxfId="163" priority="12" operator="greaterThan">
      <formula>95%</formula>
    </cfRule>
    <cfRule type="cellIs" dxfId="162" priority="13" operator="greaterThanOrEqual">
      <formula>90%</formula>
    </cfRule>
    <cfRule type="cellIs" dxfId="161" priority="14" operator="lessThan">
      <formula>89.99%</formula>
    </cfRule>
  </conditionalFormatting>
  <conditionalFormatting sqref="AA19">
    <cfRule type="cellIs" dxfId="160" priority="9" operator="greaterThan">
      <formula>95%</formula>
    </cfRule>
    <cfRule type="cellIs" dxfId="159" priority="10" operator="greaterThanOrEqual">
      <formula>90%</formula>
    </cfRule>
    <cfRule type="cellIs" dxfId="158" priority="11" operator="lessThan">
      <formula>89.99%</formula>
    </cfRule>
  </conditionalFormatting>
  <conditionalFormatting sqref="AA22">
    <cfRule type="cellIs" dxfId="157" priority="1" operator="greaterThanOrEqual">
      <formula>100%</formula>
    </cfRule>
    <cfRule type="cellIs" dxfId="156" priority="2" operator="lessThan">
      <formula>99.99%</formula>
    </cfRule>
  </conditionalFormatting>
  <conditionalFormatting sqref="AA25">
    <cfRule type="cellIs" dxfId="155" priority="3" operator="greaterThan">
      <formula>95%</formula>
    </cfRule>
    <cfRule type="cellIs" dxfId="154" priority="4" operator="greaterThanOrEqual">
      <formula>90%</formula>
    </cfRule>
    <cfRule type="cellIs" dxfId="153" priority="5" operator="lessThan">
      <formula>89.99%</formula>
    </cfRule>
  </conditionalFormatting>
  <dataValidations count="1">
    <dataValidation showDropDown="1" showInputMessage="1" showErrorMessage="1" sqref="C21 G19:G23 G10:G11 G16:G17 G13:G14 G25:G26" xr:uid="{BEC02D14-F5A8-4479-BF1E-603007C14F85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0455F-DB99-FC45-A21C-BFDD79254502}">
  <sheetPr>
    <tabColor rgb="FF00B050"/>
  </sheetPr>
  <dimension ref="A1:AM48"/>
  <sheetViews>
    <sheetView showGridLines="0" topLeftCell="A3" zoomScale="66" zoomScaleNormal="66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9</v>
      </c>
      <c r="F2" s="129" t="s">
        <v>25</v>
      </c>
      <c r="G2" s="129"/>
      <c r="H2" s="22">
        <v>160951</v>
      </c>
      <c r="I2" s="21"/>
      <c r="J2" s="21"/>
      <c r="K2" s="21"/>
      <c r="L2" s="21"/>
      <c r="M2" s="21"/>
      <c r="N2" s="21"/>
      <c r="O2" s="21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190</v>
      </c>
      <c r="J10" s="24">
        <v>898</v>
      </c>
      <c r="K10" s="24">
        <v>864</v>
      </c>
      <c r="L10" s="24">
        <v>950</v>
      </c>
      <c r="M10" s="24">
        <v>953</v>
      </c>
      <c r="N10" s="24">
        <v>876</v>
      </c>
      <c r="O10" s="24">
        <v>863</v>
      </c>
      <c r="P10" s="24">
        <v>931</v>
      </c>
      <c r="Q10" s="24">
        <v>917</v>
      </c>
      <c r="R10" s="24">
        <v>680</v>
      </c>
      <c r="S10" s="24">
        <v>1069</v>
      </c>
      <c r="T10" s="24">
        <v>1155</v>
      </c>
      <c r="U10" s="24">
        <v>1072</v>
      </c>
      <c r="V10" s="24">
        <v>1268</v>
      </c>
      <c r="W10" s="24">
        <v>1217</v>
      </c>
      <c r="X10" s="24">
        <v>1148</v>
      </c>
      <c r="Y10" s="24">
        <v>1262</v>
      </c>
      <c r="Z10" s="24">
        <v>1034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190</v>
      </c>
      <c r="J11" s="44">
        <v>898</v>
      </c>
      <c r="K11" s="44">
        <v>864</v>
      </c>
      <c r="L11" s="44">
        <v>950</v>
      </c>
      <c r="M11" s="44">
        <v>953</v>
      </c>
      <c r="N11" s="44">
        <v>876</v>
      </c>
      <c r="O11" s="44">
        <v>863</v>
      </c>
      <c r="P11" s="44">
        <v>931</v>
      </c>
      <c r="Q11" s="44">
        <v>917</v>
      </c>
      <c r="R11" s="44">
        <v>680</v>
      </c>
      <c r="S11" s="44">
        <v>1069</v>
      </c>
      <c r="T11" s="44">
        <v>1155</v>
      </c>
      <c r="U11" s="44">
        <v>1072</v>
      </c>
      <c r="V11" s="44">
        <v>1268</v>
      </c>
      <c r="W11" s="44">
        <v>1217</v>
      </c>
      <c r="X11" s="44">
        <v>1148</v>
      </c>
      <c r="Y11" s="44">
        <v>1262</v>
      </c>
      <c r="Z11" s="44">
        <v>1034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189</v>
      </c>
      <c r="J13" s="24">
        <v>895</v>
      </c>
      <c r="K13" s="24">
        <v>858</v>
      </c>
      <c r="L13" s="24">
        <v>948</v>
      </c>
      <c r="M13" s="24">
        <v>950</v>
      </c>
      <c r="N13" s="24">
        <v>868</v>
      </c>
      <c r="O13" s="24">
        <v>861</v>
      </c>
      <c r="P13" s="24">
        <v>928</v>
      </c>
      <c r="Q13" s="24">
        <v>914</v>
      </c>
      <c r="R13" s="24">
        <v>676</v>
      </c>
      <c r="S13" s="24">
        <v>1065</v>
      </c>
      <c r="T13" s="24">
        <v>1153</v>
      </c>
      <c r="U13" s="24">
        <v>1071</v>
      </c>
      <c r="V13" s="24">
        <v>1260</v>
      </c>
      <c r="W13" s="24">
        <v>1214</v>
      </c>
      <c r="X13" s="24">
        <v>1145</v>
      </c>
      <c r="Y13" s="24">
        <v>1256</v>
      </c>
      <c r="Z13" s="24">
        <v>645</v>
      </c>
      <c r="AA13" s="119">
        <f>IFERROR(SUM(I13:Z13)/SUM(I14:Z14),0)</f>
        <v>0.97400126823081801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190</v>
      </c>
      <c r="J14" s="44">
        <v>898</v>
      </c>
      <c r="K14" s="44">
        <v>864</v>
      </c>
      <c r="L14" s="44">
        <v>950</v>
      </c>
      <c r="M14" s="44">
        <v>953</v>
      </c>
      <c r="N14" s="44">
        <v>876</v>
      </c>
      <c r="O14" s="44">
        <v>863</v>
      </c>
      <c r="P14" s="44">
        <v>931</v>
      </c>
      <c r="Q14" s="44">
        <v>917</v>
      </c>
      <c r="R14" s="44">
        <v>680</v>
      </c>
      <c r="S14" s="44">
        <v>1069</v>
      </c>
      <c r="T14" s="44">
        <v>1155</v>
      </c>
      <c r="U14" s="44">
        <v>1072</v>
      </c>
      <c r="V14" s="44">
        <v>1268</v>
      </c>
      <c r="W14" s="44">
        <v>1217</v>
      </c>
      <c r="X14" s="44">
        <v>1148</v>
      </c>
      <c r="Y14" s="44">
        <v>1262</v>
      </c>
      <c r="Z14" s="44">
        <v>1034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190</v>
      </c>
      <c r="J16" s="24">
        <v>898</v>
      </c>
      <c r="K16" s="24">
        <v>864</v>
      </c>
      <c r="L16" s="24">
        <v>950</v>
      </c>
      <c r="M16" s="24">
        <v>953</v>
      </c>
      <c r="N16" s="24">
        <v>876</v>
      </c>
      <c r="O16" s="24">
        <v>863</v>
      </c>
      <c r="P16" s="24">
        <v>931</v>
      </c>
      <c r="Q16" s="24">
        <v>917</v>
      </c>
      <c r="R16" s="24">
        <v>680</v>
      </c>
      <c r="S16" s="24">
        <v>1069</v>
      </c>
      <c r="T16" s="24">
        <v>1155</v>
      </c>
      <c r="U16" s="24">
        <v>1072</v>
      </c>
      <c r="V16" s="24">
        <v>1268</v>
      </c>
      <c r="W16" s="24">
        <v>1217</v>
      </c>
      <c r="X16" s="24">
        <v>1148</v>
      </c>
      <c r="Y16" s="24">
        <v>1262</v>
      </c>
      <c r="Z16" s="24">
        <v>1034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190</v>
      </c>
      <c r="J17" s="44">
        <v>898</v>
      </c>
      <c r="K17" s="44">
        <v>864</v>
      </c>
      <c r="L17" s="44">
        <v>950</v>
      </c>
      <c r="M17" s="44">
        <v>953</v>
      </c>
      <c r="N17" s="44">
        <v>876</v>
      </c>
      <c r="O17" s="44">
        <v>863</v>
      </c>
      <c r="P17" s="44">
        <v>931</v>
      </c>
      <c r="Q17" s="44">
        <v>917</v>
      </c>
      <c r="R17" s="44">
        <v>680</v>
      </c>
      <c r="S17" s="44">
        <v>1069</v>
      </c>
      <c r="T17" s="44">
        <v>1155</v>
      </c>
      <c r="U17" s="44">
        <v>1072</v>
      </c>
      <c r="V17" s="44">
        <v>1268</v>
      </c>
      <c r="W17" s="44">
        <v>1217</v>
      </c>
      <c r="X17" s="44">
        <v>1148</v>
      </c>
      <c r="Y17" s="44">
        <v>1262</v>
      </c>
      <c r="Z17" s="44">
        <v>1034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113</v>
      </c>
      <c r="J19" s="24">
        <v>699</v>
      </c>
      <c r="K19" s="24">
        <v>1080</v>
      </c>
      <c r="L19" s="24">
        <v>866</v>
      </c>
      <c r="M19" s="24">
        <v>959</v>
      </c>
      <c r="N19" s="24">
        <v>896</v>
      </c>
      <c r="O19" s="24">
        <v>871</v>
      </c>
      <c r="P19" s="24">
        <v>893</v>
      </c>
      <c r="Q19" s="24">
        <v>928</v>
      </c>
      <c r="R19" s="24">
        <v>703</v>
      </c>
      <c r="S19" s="24">
        <v>883</v>
      </c>
      <c r="T19" s="24">
        <v>1142</v>
      </c>
      <c r="U19" s="24">
        <v>1016</v>
      </c>
      <c r="V19" s="24">
        <v>1030</v>
      </c>
      <c r="W19" s="24">
        <v>1272</v>
      </c>
      <c r="X19" s="24">
        <v>1162</v>
      </c>
      <c r="Y19" s="24">
        <v>923</v>
      </c>
      <c r="Z19" s="24">
        <v>594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113</v>
      </c>
      <c r="J20" s="44">
        <v>699</v>
      </c>
      <c r="K20" s="44">
        <v>1080</v>
      </c>
      <c r="L20" s="44">
        <v>866</v>
      </c>
      <c r="M20" s="44">
        <v>959</v>
      </c>
      <c r="N20" s="44">
        <v>896</v>
      </c>
      <c r="O20" s="44">
        <v>871</v>
      </c>
      <c r="P20" s="44">
        <v>893</v>
      </c>
      <c r="Q20" s="44">
        <v>928</v>
      </c>
      <c r="R20" s="44">
        <v>703</v>
      </c>
      <c r="S20" s="44">
        <v>883</v>
      </c>
      <c r="T20" s="44">
        <v>1142</v>
      </c>
      <c r="U20" s="44">
        <v>1016</v>
      </c>
      <c r="V20" s="44">
        <v>1030</v>
      </c>
      <c r="W20" s="44">
        <v>1272</v>
      </c>
      <c r="X20" s="44">
        <v>1162</v>
      </c>
      <c r="Y20" s="44">
        <v>923</v>
      </c>
      <c r="Z20" s="44">
        <v>594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1865</v>
      </c>
      <c r="J22" s="24">
        <v>1676</v>
      </c>
      <c r="K22" s="24">
        <v>1977</v>
      </c>
      <c r="L22" s="24">
        <v>1873</v>
      </c>
      <c r="M22" s="24">
        <v>1927</v>
      </c>
      <c r="N22" s="24">
        <v>1862</v>
      </c>
      <c r="O22" s="24">
        <v>1824</v>
      </c>
      <c r="P22" s="24">
        <v>1856</v>
      </c>
      <c r="Q22" s="24">
        <v>1876</v>
      </c>
      <c r="R22" s="24">
        <v>1855</v>
      </c>
      <c r="S22" s="24">
        <v>1671</v>
      </c>
      <c r="T22" s="24">
        <v>1880</v>
      </c>
      <c r="U22" s="24">
        <v>1885</v>
      </c>
      <c r="V22" s="24">
        <v>1891</v>
      </c>
      <c r="W22" s="24">
        <v>1890</v>
      </c>
      <c r="X22" s="24">
        <v>1781</v>
      </c>
      <c r="Y22" s="24">
        <v>1572</v>
      </c>
      <c r="Z22" s="24">
        <v>1118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1865</v>
      </c>
      <c r="J23" s="44">
        <v>1676</v>
      </c>
      <c r="K23" s="44">
        <v>1977</v>
      </c>
      <c r="L23" s="44">
        <v>1873</v>
      </c>
      <c r="M23" s="44">
        <v>1927</v>
      </c>
      <c r="N23" s="44">
        <v>1862</v>
      </c>
      <c r="O23" s="44">
        <v>1824</v>
      </c>
      <c r="P23" s="44">
        <v>1856</v>
      </c>
      <c r="Q23" s="44">
        <v>1876</v>
      </c>
      <c r="R23" s="44">
        <v>1855</v>
      </c>
      <c r="S23" s="44">
        <v>1671</v>
      </c>
      <c r="T23" s="44">
        <v>1880</v>
      </c>
      <c r="U23" s="44">
        <v>1885</v>
      </c>
      <c r="V23" s="44">
        <v>1891</v>
      </c>
      <c r="W23" s="44">
        <v>1890</v>
      </c>
      <c r="X23" s="44">
        <v>1781</v>
      </c>
      <c r="Y23" s="44">
        <v>1572</v>
      </c>
      <c r="Z23" s="44">
        <v>1118</v>
      </c>
      <c r="AA23" s="119"/>
    </row>
    <row r="24" spans="1:39" s="4" customFormat="1" ht="7.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186</v>
      </c>
      <c r="J25" s="24">
        <v>854</v>
      </c>
      <c r="K25" s="24">
        <v>761</v>
      </c>
      <c r="L25" s="24">
        <v>970</v>
      </c>
      <c r="M25" s="24">
        <v>905</v>
      </c>
      <c r="N25" s="24">
        <v>957</v>
      </c>
      <c r="O25" s="24">
        <v>909</v>
      </c>
      <c r="P25" s="24">
        <v>861</v>
      </c>
      <c r="Q25" s="24">
        <v>908</v>
      </c>
      <c r="R25" s="24">
        <v>724</v>
      </c>
      <c r="S25" s="24">
        <v>1060</v>
      </c>
      <c r="T25" s="24">
        <v>933</v>
      </c>
      <c r="U25" s="24">
        <v>1011</v>
      </c>
      <c r="V25" s="24">
        <v>1024</v>
      </c>
      <c r="W25" s="24">
        <v>1266</v>
      </c>
      <c r="X25" s="24">
        <v>1271</v>
      </c>
      <c r="Y25" s="24">
        <v>1132</v>
      </c>
      <c r="Z25" s="24">
        <v>1048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186</v>
      </c>
      <c r="J26" s="44">
        <v>854</v>
      </c>
      <c r="K26" s="44">
        <v>761</v>
      </c>
      <c r="L26" s="44">
        <v>970</v>
      </c>
      <c r="M26" s="44">
        <v>905</v>
      </c>
      <c r="N26" s="44">
        <v>957</v>
      </c>
      <c r="O26" s="44">
        <v>909</v>
      </c>
      <c r="P26" s="44">
        <v>861</v>
      </c>
      <c r="Q26" s="44">
        <v>908</v>
      </c>
      <c r="R26" s="44">
        <v>724</v>
      </c>
      <c r="S26" s="44">
        <v>1060</v>
      </c>
      <c r="T26" s="44">
        <v>933</v>
      </c>
      <c r="U26" s="44">
        <v>1011</v>
      </c>
      <c r="V26" s="44">
        <v>1024</v>
      </c>
      <c r="W26" s="44">
        <v>1266</v>
      </c>
      <c r="X26" s="44">
        <v>1271</v>
      </c>
      <c r="Y26" s="44">
        <v>1132</v>
      </c>
      <c r="Z26" s="44">
        <v>1048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5.1" customHeight="1" thickTop="1" x14ac:dyDescent="0.25"/>
    <row r="39" spans="2:13" ht="8.1" customHeight="1" x14ac:dyDescent="0.25"/>
    <row r="40" spans="2:13" ht="35.1" customHeight="1" x14ac:dyDescent="0.25"/>
    <row r="41" spans="2:13" ht="35.1" customHeight="1" x14ac:dyDescent="0.25"/>
    <row r="42" spans="2:13" ht="8.1" customHeight="1" x14ac:dyDescent="0.25"/>
    <row r="43" spans="2:13" ht="35.1" customHeight="1" x14ac:dyDescent="0.25"/>
    <row r="44" spans="2:13" ht="43.5" customHeight="1" x14ac:dyDescent="0.25"/>
    <row r="45" spans="2:13" ht="8.1" customHeight="1" x14ac:dyDescent="0.25"/>
    <row r="46" spans="2:13" ht="35.1" customHeight="1" x14ac:dyDescent="0.25"/>
    <row r="47" spans="2:13" ht="35.1" customHeight="1" x14ac:dyDescent="0.25"/>
    <row r="48" spans="2:13" ht="39" customHeight="1" x14ac:dyDescent="0.25"/>
  </sheetData>
  <mergeCells count="71">
    <mergeCell ref="F22:F23"/>
    <mergeCell ref="G22:G23"/>
    <mergeCell ref="AA22:AA23"/>
    <mergeCell ref="I29:L29"/>
    <mergeCell ref="B34:M34"/>
    <mergeCell ref="A22:A23"/>
    <mergeCell ref="B22:B23"/>
    <mergeCell ref="C22:C23"/>
    <mergeCell ref="D22:D23"/>
    <mergeCell ref="E22:E23"/>
    <mergeCell ref="A18:AA18"/>
    <mergeCell ref="A19:A20"/>
    <mergeCell ref="B19:B20"/>
    <mergeCell ref="C19:C20"/>
    <mergeCell ref="D19:D20"/>
    <mergeCell ref="E19:E20"/>
    <mergeCell ref="F19:F20"/>
    <mergeCell ref="G19:G20"/>
    <mergeCell ref="AA19:AA20"/>
    <mergeCell ref="A15:AA15"/>
    <mergeCell ref="A16:A17"/>
    <mergeCell ref="B16:B17"/>
    <mergeCell ref="C16:C17"/>
    <mergeCell ref="D16:D17"/>
    <mergeCell ref="E16:E17"/>
    <mergeCell ref="F16:F17"/>
    <mergeCell ref="G16:G17"/>
    <mergeCell ref="AA16:AA17"/>
    <mergeCell ref="F13:F14"/>
    <mergeCell ref="G13:G14"/>
    <mergeCell ref="AA13:AA14"/>
    <mergeCell ref="A10:A11"/>
    <mergeCell ref="B10:B11"/>
    <mergeCell ref="C10:C11"/>
    <mergeCell ref="D10:D11"/>
    <mergeCell ref="E10:E11"/>
    <mergeCell ref="F10:F11"/>
    <mergeCell ref="A13:A14"/>
    <mergeCell ref="B13:B14"/>
    <mergeCell ref="C13:C14"/>
    <mergeCell ref="D13:D14"/>
    <mergeCell ref="E13:E14"/>
    <mergeCell ref="A1:AA1"/>
    <mergeCell ref="F2:G2"/>
    <mergeCell ref="A4:AA4"/>
    <mergeCell ref="A5:AA5"/>
    <mergeCell ref="A6:A9"/>
    <mergeCell ref="B6:H6"/>
    <mergeCell ref="I6:Z6"/>
    <mergeCell ref="AA6:AA9"/>
    <mergeCell ref="B7:D7"/>
    <mergeCell ref="E7:H7"/>
    <mergeCell ref="I7:Z7"/>
    <mergeCell ref="B8:Z8"/>
    <mergeCell ref="W2:AA2"/>
    <mergeCell ref="B35:G35"/>
    <mergeCell ref="H35:M35"/>
    <mergeCell ref="B36:G37"/>
    <mergeCell ref="H36:M37"/>
    <mergeCell ref="G10:G11"/>
    <mergeCell ref="A24:AA24"/>
    <mergeCell ref="A25:A26"/>
    <mergeCell ref="B25:B26"/>
    <mergeCell ref="C25:C26"/>
    <mergeCell ref="D25:D26"/>
    <mergeCell ref="E25:E26"/>
    <mergeCell ref="F25:F26"/>
    <mergeCell ref="G25:G26"/>
    <mergeCell ref="AA25:AA26"/>
    <mergeCell ref="AA10:AA11"/>
    <mergeCell ref="A12:AA12"/>
  </mergeCells>
  <conditionalFormatting sqref="I21:Z21">
    <cfRule type="colorScale" priority="3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152" priority="18" operator="greaterThan">
      <formula>95%</formula>
    </cfRule>
    <cfRule type="cellIs" dxfId="151" priority="19" operator="greaterThanOrEqual">
      <formula>90%</formula>
    </cfRule>
    <cfRule type="cellIs" dxfId="150" priority="20" operator="lessThan">
      <formula>89.99%</formula>
    </cfRule>
  </conditionalFormatting>
  <conditionalFormatting sqref="AA13">
    <cfRule type="cellIs" dxfId="149" priority="15" operator="greaterThan">
      <formula>95%</formula>
    </cfRule>
    <cfRule type="cellIs" dxfId="148" priority="16" operator="greaterThanOrEqual">
      <formula>90%</formula>
    </cfRule>
    <cfRule type="cellIs" dxfId="147" priority="17" operator="lessThan">
      <formula>89.99%</formula>
    </cfRule>
  </conditionalFormatting>
  <conditionalFormatting sqref="AA16">
    <cfRule type="cellIs" dxfId="146" priority="12" operator="greaterThan">
      <formula>95%</formula>
    </cfRule>
    <cfRule type="cellIs" dxfId="145" priority="13" operator="greaterThanOrEqual">
      <formula>90%</formula>
    </cfRule>
    <cfRule type="cellIs" dxfId="144" priority="14" operator="lessThan">
      <formula>89.99%</formula>
    </cfRule>
  </conditionalFormatting>
  <conditionalFormatting sqref="AA19">
    <cfRule type="cellIs" dxfId="143" priority="9" operator="greaterThan">
      <formula>95%</formula>
    </cfRule>
    <cfRule type="cellIs" dxfId="142" priority="10" operator="greaterThanOrEqual">
      <formula>90%</formula>
    </cfRule>
    <cfRule type="cellIs" dxfId="141" priority="11" operator="lessThan">
      <formula>89.99%</formula>
    </cfRule>
  </conditionalFormatting>
  <conditionalFormatting sqref="AA22">
    <cfRule type="cellIs" dxfId="140" priority="1" operator="greaterThanOrEqual">
      <formula>100%</formula>
    </cfRule>
    <cfRule type="cellIs" dxfId="139" priority="2" operator="lessThan">
      <formula>99.99%</formula>
    </cfRule>
  </conditionalFormatting>
  <conditionalFormatting sqref="AA25">
    <cfRule type="cellIs" dxfId="138" priority="3" operator="greaterThan">
      <formula>95%</formula>
    </cfRule>
    <cfRule type="cellIs" dxfId="137" priority="4" operator="greaterThanOrEqual">
      <formula>90%</formula>
    </cfRule>
    <cfRule type="cellIs" dxfId="136" priority="5" operator="lessThan">
      <formula>89.99%</formula>
    </cfRule>
  </conditionalFormatting>
  <dataValidations count="1">
    <dataValidation showDropDown="1" showInputMessage="1" showErrorMessage="1" sqref="C21 G19:G23 G10:G11 G16:G17 G13:G14 G25:G26" xr:uid="{C9716A78-5453-4068-97F5-6445328672E7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0C13B-5494-8E4C-AFAC-7186B5AA817E}">
  <sheetPr>
    <tabColor rgb="FF00B050"/>
  </sheetPr>
  <dimension ref="A1:AM38"/>
  <sheetViews>
    <sheetView showGridLines="0" topLeftCell="A4" zoomScale="62" zoomScaleNormal="62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9</v>
      </c>
      <c r="F2" s="129" t="s">
        <v>25</v>
      </c>
      <c r="G2" s="129"/>
      <c r="H2" s="22">
        <v>160952</v>
      </c>
      <c r="I2" s="21"/>
      <c r="J2" s="21"/>
      <c r="K2" s="21"/>
      <c r="L2" s="21"/>
      <c r="M2" s="21"/>
      <c r="N2" s="21"/>
      <c r="O2" s="21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15</v>
      </c>
      <c r="J10" s="24">
        <v>150</v>
      </c>
      <c r="K10" s="24">
        <v>118</v>
      </c>
      <c r="L10" s="24">
        <v>180</v>
      </c>
      <c r="M10" s="24">
        <v>269</v>
      </c>
      <c r="N10" s="24">
        <v>192</v>
      </c>
      <c r="O10" s="24">
        <v>123</v>
      </c>
      <c r="P10" s="24">
        <v>203</v>
      </c>
      <c r="Q10" s="24">
        <v>236</v>
      </c>
      <c r="R10" s="24">
        <v>132</v>
      </c>
      <c r="S10" s="24">
        <v>124</v>
      </c>
      <c r="T10" s="24">
        <v>150</v>
      </c>
      <c r="U10" s="24">
        <v>185</v>
      </c>
      <c r="V10" s="24">
        <v>287</v>
      </c>
      <c r="W10" s="24">
        <v>118</v>
      </c>
      <c r="X10" s="24">
        <v>58</v>
      </c>
      <c r="Y10" s="24">
        <v>186</v>
      </c>
      <c r="Z10" s="24">
        <v>192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15</v>
      </c>
      <c r="J11" s="44">
        <v>150</v>
      </c>
      <c r="K11" s="44">
        <v>118</v>
      </c>
      <c r="L11" s="44">
        <v>180</v>
      </c>
      <c r="M11" s="44">
        <v>269</v>
      </c>
      <c r="N11" s="44">
        <v>192</v>
      </c>
      <c r="O11" s="44">
        <v>123</v>
      </c>
      <c r="P11" s="44">
        <v>203</v>
      </c>
      <c r="Q11" s="44">
        <v>236</v>
      </c>
      <c r="R11" s="44">
        <v>132</v>
      </c>
      <c r="S11" s="44">
        <v>124</v>
      </c>
      <c r="T11" s="44">
        <v>150</v>
      </c>
      <c r="U11" s="44">
        <v>185</v>
      </c>
      <c r="V11" s="44">
        <v>287</v>
      </c>
      <c r="W11" s="44">
        <v>118</v>
      </c>
      <c r="X11" s="44">
        <v>58</v>
      </c>
      <c r="Y11" s="44">
        <v>186</v>
      </c>
      <c r="Z11" s="44">
        <v>192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15</v>
      </c>
      <c r="J13" s="24">
        <v>149</v>
      </c>
      <c r="K13" s="24">
        <v>118</v>
      </c>
      <c r="L13" s="24">
        <v>180</v>
      </c>
      <c r="M13" s="24">
        <v>267</v>
      </c>
      <c r="N13" s="24">
        <v>190</v>
      </c>
      <c r="O13" s="24">
        <v>123</v>
      </c>
      <c r="P13" s="24">
        <v>201</v>
      </c>
      <c r="Q13" s="24">
        <v>236</v>
      </c>
      <c r="R13" s="24">
        <v>131</v>
      </c>
      <c r="S13" s="24">
        <v>122</v>
      </c>
      <c r="T13" s="24">
        <v>150</v>
      </c>
      <c r="U13" s="24">
        <v>185</v>
      </c>
      <c r="V13" s="24">
        <v>287</v>
      </c>
      <c r="W13" s="24">
        <v>117</v>
      </c>
      <c r="X13" s="24">
        <v>58</v>
      </c>
      <c r="Y13" s="24">
        <v>186</v>
      </c>
      <c r="Z13" s="24">
        <v>144</v>
      </c>
      <c r="AA13" s="119">
        <f>IFERROR(SUM(I13:Z13)/SUM(I14:Z14),0)</f>
        <v>0.97978067169294036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15</v>
      </c>
      <c r="J14" s="44">
        <v>150</v>
      </c>
      <c r="K14" s="44">
        <v>118</v>
      </c>
      <c r="L14" s="44">
        <v>180</v>
      </c>
      <c r="M14" s="44">
        <v>269</v>
      </c>
      <c r="N14" s="44">
        <v>192</v>
      </c>
      <c r="O14" s="44">
        <v>123</v>
      </c>
      <c r="P14" s="44">
        <v>203</v>
      </c>
      <c r="Q14" s="44">
        <v>236</v>
      </c>
      <c r="R14" s="44">
        <v>132</v>
      </c>
      <c r="S14" s="44">
        <v>124</v>
      </c>
      <c r="T14" s="44">
        <v>150</v>
      </c>
      <c r="U14" s="44">
        <v>185</v>
      </c>
      <c r="V14" s="44">
        <v>287</v>
      </c>
      <c r="W14" s="44">
        <v>118</v>
      </c>
      <c r="X14" s="44">
        <v>58</v>
      </c>
      <c r="Y14" s="44">
        <v>186</v>
      </c>
      <c r="Z14" s="44">
        <v>192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15</v>
      </c>
      <c r="J16" s="24">
        <v>150</v>
      </c>
      <c r="K16" s="24">
        <v>118</v>
      </c>
      <c r="L16" s="24">
        <v>180</v>
      </c>
      <c r="M16" s="24">
        <v>269</v>
      </c>
      <c r="N16" s="24">
        <v>192</v>
      </c>
      <c r="O16" s="24">
        <v>123</v>
      </c>
      <c r="P16" s="24">
        <v>203</v>
      </c>
      <c r="Q16" s="24">
        <v>236</v>
      </c>
      <c r="R16" s="24">
        <v>132</v>
      </c>
      <c r="S16" s="24">
        <v>124</v>
      </c>
      <c r="T16" s="24">
        <v>150</v>
      </c>
      <c r="U16" s="24">
        <v>185</v>
      </c>
      <c r="V16" s="24">
        <v>287</v>
      </c>
      <c r="W16" s="24">
        <v>118</v>
      </c>
      <c r="X16" s="24">
        <v>58</v>
      </c>
      <c r="Y16" s="24">
        <v>186</v>
      </c>
      <c r="Z16" s="24">
        <v>192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15</v>
      </c>
      <c r="J17" s="44">
        <v>150</v>
      </c>
      <c r="K17" s="44">
        <v>118</v>
      </c>
      <c r="L17" s="44">
        <v>180</v>
      </c>
      <c r="M17" s="44">
        <v>269</v>
      </c>
      <c r="N17" s="44">
        <v>192</v>
      </c>
      <c r="O17" s="44">
        <v>123</v>
      </c>
      <c r="P17" s="44">
        <v>203</v>
      </c>
      <c r="Q17" s="44">
        <v>236</v>
      </c>
      <c r="R17" s="44">
        <v>132</v>
      </c>
      <c r="S17" s="44">
        <v>124</v>
      </c>
      <c r="T17" s="44">
        <v>150</v>
      </c>
      <c r="U17" s="44">
        <v>185</v>
      </c>
      <c r="V17" s="44">
        <v>287</v>
      </c>
      <c r="W17" s="44">
        <v>118</v>
      </c>
      <c r="X17" s="44">
        <v>58</v>
      </c>
      <c r="Y17" s="44">
        <v>186</v>
      </c>
      <c r="Z17" s="44">
        <v>192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145</v>
      </c>
      <c r="J19" s="24">
        <v>86</v>
      </c>
      <c r="K19" s="24">
        <v>138</v>
      </c>
      <c r="L19" s="24">
        <v>130</v>
      </c>
      <c r="M19" s="24">
        <v>269</v>
      </c>
      <c r="N19" s="24">
        <v>213</v>
      </c>
      <c r="O19" s="24">
        <v>206</v>
      </c>
      <c r="P19" s="24">
        <v>110</v>
      </c>
      <c r="Q19" s="24">
        <v>245</v>
      </c>
      <c r="R19" s="24">
        <v>134</v>
      </c>
      <c r="S19" s="24">
        <v>178</v>
      </c>
      <c r="T19" s="24">
        <v>122</v>
      </c>
      <c r="U19" s="24">
        <v>70</v>
      </c>
      <c r="V19" s="24">
        <v>328</v>
      </c>
      <c r="W19" s="24">
        <v>197</v>
      </c>
      <c r="X19" s="24">
        <v>98</v>
      </c>
      <c r="Y19" s="24">
        <v>57</v>
      </c>
      <c r="Z19" s="24">
        <v>153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145</v>
      </c>
      <c r="J20" s="44">
        <v>86</v>
      </c>
      <c r="K20" s="44">
        <v>138</v>
      </c>
      <c r="L20" s="44">
        <v>130</v>
      </c>
      <c r="M20" s="44">
        <v>269</v>
      </c>
      <c r="N20" s="44">
        <v>213</v>
      </c>
      <c r="O20" s="44">
        <v>206</v>
      </c>
      <c r="P20" s="44">
        <v>110</v>
      </c>
      <c r="Q20" s="44">
        <v>245</v>
      </c>
      <c r="R20" s="44">
        <v>134</v>
      </c>
      <c r="S20" s="44">
        <v>178</v>
      </c>
      <c r="T20" s="44">
        <v>122</v>
      </c>
      <c r="U20" s="44">
        <v>70</v>
      </c>
      <c r="V20" s="44">
        <v>328</v>
      </c>
      <c r="W20" s="44">
        <v>197</v>
      </c>
      <c r="X20" s="44">
        <v>98</v>
      </c>
      <c r="Y20" s="44">
        <v>57</v>
      </c>
      <c r="Z20" s="44">
        <v>153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269</v>
      </c>
      <c r="J22" s="24">
        <v>316</v>
      </c>
      <c r="K22" s="24">
        <v>349</v>
      </c>
      <c r="L22" s="24">
        <v>479</v>
      </c>
      <c r="M22" s="24">
        <v>747</v>
      </c>
      <c r="N22" s="24">
        <v>888</v>
      </c>
      <c r="O22" s="24">
        <v>961</v>
      </c>
      <c r="P22" s="24">
        <v>921</v>
      </c>
      <c r="Q22" s="24">
        <v>929</v>
      </c>
      <c r="R22" s="24">
        <v>862</v>
      </c>
      <c r="S22" s="24">
        <v>835</v>
      </c>
      <c r="T22" s="24">
        <v>843</v>
      </c>
      <c r="U22" s="24">
        <v>771</v>
      </c>
      <c r="V22" s="24">
        <v>876</v>
      </c>
      <c r="W22" s="24">
        <v>896</v>
      </c>
      <c r="X22" s="24">
        <v>899</v>
      </c>
      <c r="Y22" s="24">
        <v>770</v>
      </c>
      <c r="Z22" s="24">
        <v>740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269</v>
      </c>
      <c r="J23" s="44">
        <v>316</v>
      </c>
      <c r="K23" s="44">
        <v>349</v>
      </c>
      <c r="L23" s="44">
        <v>479</v>
      </c>
      <c r="M23" s="44">
        <v>747</v>
      </c>
      <c r="N23" s="44">
        <v>888</v>
      </c>
      <c r="O23" s="44">
        <v>961</v>
      </c>
      <c r="P23" s="44">
        <v>921</v>
      </c>
      <c r="Q23" s="44">
        <v>929</v>
      </c>
      <c r="R23" s="44">
        <v>862</v>
      </c>
      <c r="S23" s="44">
        <v>835</v>
      </c>
      <c r="T23" s="44">
        <v>843</v>
      </c>
      <c r="U23" s="44">
        <v>771</v>
      </c>
      <c r="V23" s="44">
        <v>876</v>
      </c>
      <c r="W23" s="44">
        <v>896</v>
      </c>
      <c r="X23" s="44">
        <v>899</v>
      </c>
      <c r="Y23" s="44">
        <v>770</v>
      </c>
      <c r="Z23" s="44">
        <v>740</v>
      </c>
      <c r="AA23" s="119"/>
    </row>
    <row r="24" spans="1:39" s="4" customFormat="1" ht="8.25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32</v>
      </c>
      <c r="J25" s="24">
        <v>39</v>
      </c>
      <c r="K25" s="24">
        <v>105</v>
      </c>
      <c r="L25" s="24">
        <v>0</v>
      </c>
      <c r="M25" s="24">
        <v>1</v>
      </c>
      <c r="N25" s="24">
        <v>22</v>
      </c>
      <c r="O25" s="24">
        <v>133</v>
      </c>
      <c r="P25" s="24">
        <v>150</v>
      </c>
      <c r="Q25" s="24">
        <v>237</v>
      </c>
      <c r="R25" s="24">
        <v>201</v>
      </c>
      <c r="S25" s="24">
        <v>202</v>
      </c>
      <c r="T25" s="24">
        <v>114</v>
      </c>
      <c r="U25" s="24">
        <v>142</v>
      </c>
      <c r="V25" s="24">
        <v>223</v>
      </c>
      <c r="W25" s="24">
        <v>177</v>
      </c>
      <c r="X25" s="24">
        <v>95</v>
      </c>
      <c r="Y25" s="24">
        <v>186</v>
      </c>
      <c r="Z25" s="24">
        <v>183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32</v>
      </c>
      <c r="J26" s="44">
        <v>39</v>
      </c>
      <c r="K26" s="44">
        <v>105</v>
      </c>
      <c r="L26" s="44">
        <v>0</v>
      </c>
      <c r="M26" s="44">
        <v>1</v>
      </c>
      <c r="N26" s="44">
        <v>22</v>
      </c>
      <c r="O26" s="44">
        <v>133</v>
      </c>
      <c r="P26" s="44">
        <v>150</v>
      </c>
      <c r="Q26" s="44">
        <v>237</v>
      </c>
      <c r="R26" s="44">
        <v>201</v>
      </c>
      <c r="S26" s="44">
        <v>202</v>
      </c>
      <c r="T26" s="44">
        <v>114</v>
      </c>
      <c r="U26" s="44">
        <v>142</v>
      </c>
      <c r="V26" s="44">
        <v>223</v>
      </c>
      <c r="W26" s="44">
        <v>177</v>
      </c>
      <c r="X26" s="44">
        <v>95</v>
      </c>
      <c r="Y26" s="44">
        <v>186</v>
      </c>
      <c r="Z26" s="44">
        <v>183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F22:F23"/>
    <mergeCell ref="G22:G23"/>
    <mergeCell ref="AA22:AA23"/>
    <mergeCell ref="I29:L29"/>
    <mergeCell ref="B34:M34"/>
    <mergeCell ref="A22:A23"/>
    <mergeCell ref="B22:B23"/>
    <mergeCell ref="C22:C23"/>
    <mergeCell ref="D22:D23"/>
    <mergeCell ref="E22:E23"/>
    <mergeCell ref="A18:AA18"/>
    <mergeCell ref="A19:A20"/>
    <mergeCell ref="B19:B20"/>
    <mergeCell ref="C19:C20"/>
    <mergeCell ref="D19:D20"/>
    <mergeCell ref="E19:E20"/>
    <mergeCell ref="F19:F20"/>
    <mergeCell ref="G19:G20"/>
    <mergeCell ref="AA19:AA20"/>
    <mergeCell ref="A15:AA15"/>
    <mergeCell ref="A16:A17"/>
    <mergeCell ref="B16:B17"/>
    <mergeCell ref="C16:C17"/>
    <mergeCell ref="D16:D17"/>
    <mergeCell ref="E16:E17"/>
    <mergeCell ref="F16:F17"/>
    <mergeCell ref="G16:G17"/>
    <mergeCell ref="AA16:AA17"/>
    <mergeCell ref="F13:F14"/>
    <mergeCell ref="G13:G14"/>
    <mergeCell ref="AA13:AA14"/>
    <mergeCell ref="A10:A11"/>
    <mergeCell ref="B10:B11"/>
    <mergeCell ref="C10:C11"/>
    <mergeCell ref="D10:D11"/>
    <mergeCell ref="E10:E11"/>
    <mergeCell ref="F10:F11"/>
    <mergeCell ref="A13:A14"/>
    <mergeCell ref="B13:B14"/>
    <mergeCell ref="C13:C14"/>
    <mergeCell ref="D13:D14"/>
    <mergeCell ref="E13:E14"/>
    <mergeCell ref="A1:AA1"/>
    <mergeCell ref="F2:G2"/>
    <mergeCell ref="A4:AA4"/>
    <mergeCell ref="A5:AA5"/>
    <mergeCell ref="A6:A9"/>
    <mergeCell ref="B6:H6"/>
    <mergeCell ref="I6:Z6"/>
    <mergeCell ref="AA6:AA9"/>
    <mergeCell ref="B7:D7"/>
    <mergeCell ref="E7:H7"/>
    <mergeCell ref="I7:Z7"/>
    <mergeCell ref="B8:Z8"/>
    <mergeCell ref="W2:AA2"/>
    <mergeCell ref="B35:G35"/>
    <mergeCell ref="H35:M35"/>
    <mergeCell ref="B36:G37"/>
    <mergeCell ref="H36:M37"/>
    <mergeCell ref="G10:G11"/>
    <mergeCell ref="A24:AA24"/>
    <mergeCell ref="A25:A26"/>
    <mergeCell ref="B25:B26"/>
    <mergeCell ref="C25:C26"/>
    <mergeCell ref="D25:D26"/>
    <mergeCell ref="E25:E26"/>
    <mergeCell ref="F25:F26"/>
    <mergeCell ref="G25:G26"/>
    <mergeCell ref="AA25:AA26"/>
    <mergeCell ref="AA10:AA11"/>
    <mergeCell ref="A12:AA12"/>
  </mergeCells>
  <conditionalFormatting sqref="I21:Z21">
    <cfRule type="colorScale" priority="3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135" priority="18" operator="greaterThan">
      <formula>95%</formula>
    </cfRule>
    <cfRule type="cellIs" dxfId="134" priority="19" operator="greaterThanOrEqual">
      <formula>90%</formula>
    </cfRule>
    <cfRule type="cellIs" dxfId="133" priority="20" operator="lessThan">
      <formula>89.99%</formula>
    </cfRule>
  </conditionalFormatting>
  <conditionalFormatting sqref="AA13">
    <cfRule type="cellIs" dxfId="132" priority="15" operator="greaterThan">
      <formula>95%</formula>
    </cfRule>
    <cfRule type="cellIs" dxfId="131" priority="16" operator="greaterThanOrEqual">
      <formula>90%</formula>
    </cfRule>
    <cfRule type="cellIs" dxfId="130" priority="17" operator="lessThan">
      <formula>89.99%</formula>
    </cfRule>
  </conditionalFormatting>
  <conditionalFormatting sqref="AA16">
    <cfRule type="cellIs" dxfId="129" priority="12" operator="greaterThan">
      <formula>95%</formula>
    </cfRule>
    <cfRule type="cellIs" dxfId="128" priority="13" operator="greaterThanOrEqual">
      <formula>90%</formula>
    </cfRule>
    <cfRule type="cellIs" dxfId="127" priority="14" operator="lessThan">
      <formula>89.99%</formula>
    </cfRule>
  </conditionalFormatting>
  <conditionalFormatting sqref="AA19">
    <cfRule type="cellIs" dxfId="126" priority="9" operator="greaterThan">
      <formula>95%</formula>
    </cfRule>
    <cfRule type="cellIs" dxfId="125" priority="10" operator="greaterThanOrEqual">
      <formula>90%</formula>
    </cfRule>
    <cfRule type="cellIs" dxfId="124" priority="11" operator="lessThan">
      <formula>89.99%</formula>
    </cfRule>
  </conditionalFormatting>
  <conditionalFormatting sqref="AA22">
    <cfRule type="cellIs" dxfId="123" priority="1" operator="greaterThanOrEqual">
      <formula>100%</formula>
    </cfRule>
    <cfRule type="cellIs" dxfId="122" priority="2" operator="lessThan">
      <formula>99.99%</formula>
    </cfRule>
  </conditionalFormatting>
  <conditionalFormatting sqref="AA25">
    <cfRule type="cellIs" dxfId="121" priority="3" operator="greaterThan">
      <formula>95%</formula>
    </cfRule>
    <cfRule type="cellIs" dxfId="120" priority="4" operator="greaterThanOrEqual">
      <formula>90%</formula>
    </cfRule>
    <cfRule type="cellIs" dxfId="119" priority="5" operator="lessThan">
      <formula>89.99%</formula>
    </cfRule>
  </conditionalFormatting>
  <dataValidations count="1">
    <dataValidation showDropDown="1" showInputMessage="1" showErrorMessage="1" sqref="C21 G19:G23 G10:G11 G16:G17 G13:G14 G25:G26" xr:uid="{932D0EA0-950D-4955-991D-E9CBC7391F6F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C9898-58DE-054B-88EE-6C3A310AAF78}">
  <sheetPr>
    <tabColor rgb="FFFF0000"/>
  </sheetPr>
  <dimension ref="A1:AM38"/>
  <sheetViews>
    <sheetView showGridLines="0" zoomScale="60" zoomScaleNormal="60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10</v>
      </c>
      <c r="F2" s="129" t="s">
        <v>25</v>
      </c>
      <c r="G2" s="129"/>
      <c r="H2" s="22">
        <v>161051</v>
      </c>
      <c r="I2" s="21"/>
      <c r="J2" s="21"/>
      <c r="K2" s="21"/>
      <c r="L2" s="21"/>
      <c r="M2" s="21"/>
      <c r="N2" s="21"/>
      <c r="O2" s="21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89</v>
      </c>
      <c r="J10" s="24">
        <v>401</v>
      </c>
      <c r="K10" s="24">
        <v>363</v>
      </c>
      <c r="L10" s="24">
        <v>426</v>
      </c>
      <c r="M10" s="24">
        <v>419</v>
      </c>
      <c r="N10" s="24">
        <v>410</v>
      </c>
      <c r="O10" s="24">
        <v>391</v>
      </c>
      <c r="P10" s="24">
        <v>429</v>
      </c>
      <c r="Q10" s="24">
        <v>420</v>
      </c>
      <c r="R10" s="24">
        <v>295</v>
      </c>
      <c r="S10" s="24">
        <v>468</v>
      </c>
      <c r="T10" s="24">
        <v>470</v>
      </c>
      <c r="U10" s="24">
        <v>461</v>
      </c>
      <c r="V10" s="24">
        <v>579</v>
      </c>
      <c r="W10" s="24">
        <v>609</v>
      </c>
      <c r="X10" s="24">
        <v>558</v>
      </c>
      <c r="Y10" s="24">
        <v>653</v>
      </c>
      <c r="Z10" s="24">
        <v>455</v>
      </c>
      <c r="AA10" s="119">
        <f>IFERROR(SUM(I10:Z10)/SUM(I11:Z11),0)</f>
        <v>0.99962020508925176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89</v>
      </c>
      <c r="J11" s="44">
        <v>401</v>
      </c>
      <c r="K11" s="44">
        <v>363</v>
      </c>
      <c r="L11" s="44">
        <v>426</v>
      </c>
      <c r="M11" s="44">
        <v>422</v>
      </c>
      <c r="N11" s="44">
        <v>410</v>
      </c>
      <c r="O11" s="44">
        <v>391</v>
      </c>
      <c r="P11" s="44">
        <v>429</v>
      </c>
      <c r="Q11" s="44">
        <v>420</v>
      </c>
      <c r="R11" s="44">
        <v>295</v>
      </c>
      <c r="S11" s="44">
        <v>468</v>
      </c>
      <c r="T11" s="44">
        <v>470</v>
      </c>
      <c r="U11" s="44">
        <v>461</v>
      </c>
      <c r="V11" s="44">
        <v>579</v>
      </c>
      <c r="W11" s="44">
        <v>609</v>
      </c>
      <c r="X11" s="44">
        <v>558</v>
      </c>
      <c r="Y11" s="44">
        <v>653</v>
      </c>
      <c r="Z11" s="44">
        <v>455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87</v>
      </c>
      <c r="J13" s="24">
        <v>398</v>
      </c>
      <c r="K13" s="24">
        <v>361</v>
      </c>
      <c r="L13" s="24">
        <v>424</v>
      </c>
      <c r="M13" s="24">
        <v>413</v>
      </c>
      <c r="N13" s="24">
        <v>408</v>
      </c>
      <c r="O13" s="24">
        <v>389</v>
      </c>
      <c r="P13" s="24">
        <v>427</v>
      </c>
      <c r="Q13" s="24">
        <v>418</v>
      </c>
      <c r="R13" s="24">
        <v>295</v>
      </c>
      <c r="S13" s="24">
        <v>467</v>
      </c>
      <c r="T13" s="24">
        <v>469</v>
      </c>
      <c r="U13" s="24">
        <v>461</v>
      </c>
      <c r="V13" s="24">
        <v>579</v>
      </c>
      <c r="W13" s="24">
        <v>609</v>
      </c>
      <c r="X13" s="24">
        <v>556</v>
      </c>
      <c r="Y13" s="24">
        <v>650</v>
      </c>
      <c r="Z13" s="24">
        <v>452</v>
      </c>
      <c r="AA13" s="119">
        <f>IFERROR(SUM(I13:Z13)/SUM(I14:Z14),0)</f>
        <v>0.99582066869300911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89</v>
      </c>
      <c r="J14" s="44">
        <v>401</v>
      </c>
      <c r="K14" s="44">
        <v>363</v>
      </c>
      <c r="L14" s="44">
        <v>426</v>
      </c>
      <c r="M14" s="44">
        <v>419</v>
      </c>
      <c r="N14" s="44">
        <v>410</v>
      </c>
      <c r="O14" s="44">
        <v>391</v>
      </c>
      <c r="P14" s="44">
        <v>429</v>
      </c>
      <c r="Q14" s="44">
        <v>420</v>
      </c>
      <c r="R14" s="44">
        <v>295</v>
      </c>
      <c r="S14" s="44">
        <v>468</v>
      </c>
      <c r="T14" s="44">
        <v>470</v>
      </c>
      <c r="U14" s="44">
        <v>461</v>
      </c>
      <c r="V14" s="44">
        <v>579</v>
      </c>
      <c r="W14" s="44">
        <v>609</v>
      </c>
      <c r="X14" s="44">
        <v>558</v>
      </c>
      <c r="Y14" s="44">
        <v>653</v>
      </c>
      <c r="Z14" s="44">
        <v>455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89</v>
      </c>
      <c r="J16" s="24">
        <v>401</v>
      </c>
      <c r="K16" s="24">
        <v>363</v>
      </c>
      <c r="L16" s="24">
        <v>426</v>
      </c>
      <c r="M16" s="24">
        <v>419</v>
      </c>
      <c r="N16" s="24">
        <v>410</v>
      </c>
      <c r="O16" s="24">
        <v>391</v>
      </c>
      <c r="P16" s="24">
        <v>429</v>
      </c>
      <c r="Q16" s="24">
        <v>420</v>
      </c>
      <c r="R16" s="24">
        <v>295</v>
      </c>
      <c r="S16" s="24">
        <v>468</v>
      </c>
      <c r="T16" s="24">
        <v>470</v>
      </c>
      <c r="U16" s="24">
        <v>461</v>
      </c>
      <c r="V16" s="24">
        <v>579</v>
      </c>
      <c r="W16" s="24">
        <v>609</v>
      </c>
      <c r="X16" s="24">
        <v>556</v>
      </c>
      <c r="Y16" s="24">
        <v>653</v>
      </c>
      <c r="Z16" s="24">
        <v>455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89</v>
      </c>
      <c r="J17" s="44">
        <v>401</v>
      </c>
      <c r="K17" s="44">
        <v>363</v>
      </c>
      <c r="L17" s="44">
        <v>426</v>
      </c>
      <c r="M17" s="44">
        <v>419</v>
      </c>
      <c r="N17" s="44">
        <v>410</v>
      </c>
      <c r="O17" s="44">
        <v>391</v>
      </c>
      <c r="P17" s="44">
        <v>429</v>
      </c>
      <c r="Q17" s="44">
        <v>420</v>
      </c>
      <c r="R17" s="44">
        <v>295</v>
      </c>
      <c r="S17" s="44">
        <v>468</v>
      </c>
      <c r="T17" s="44">
        <v>470</v>
      </c>
      <c r="U17" s="44">
        <v>461</v>
      </c>
      <c r="V17" s="44">
        <v>579</v>
      </c>
      <c r="W17" s="44">
        <v>609</v>
      </c>
      <c r="X17" s="44">
        <v>556</v>
      </c>
      <c r="Y17" s="44">
        <v>653</v>
      </c>
      <c r="Z17" s="44">
        <v>455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0</v>
      </c>
      <c r="J19" s="24">
        <v>439</v>
      </c>
      <c r="K19" s="24">
        <v>479</v>
      </c>
      <c r="L19" s="24">
        <v>300</v>
      </c>
      <c r="M19" s="24">
        <v>521</v>
      </c>
      <c r="N19" s="24">
        <v>369</v>
      </c>
      <c r="O19" s="24">
        <v>419</v>
      </c>
      <c r="P19" s="24">
        <v>394</v>
      </c>
      <c r="Q19" s="24">
        <v>451</v>
      </c>
      <c r="R19" s="24">
        <v>316</v>
      </c>
      <c r="S19" s="24">
        <v>420</v>
      </c>
      <c r="T19" s="24">
        <v>442</v>
      </c>
      <c r="U19" s="24">
        <v>440</v>
      </c>
      <c r="V19" s="24">
        <v>587</v>
      </c>
      <c r="W19" s="24">
        <v>594</v>
      </c>
      <c r="X19" s="24">
        <v>565</v>
      </c>
      <c r="Y19" s="24">
        <v>337</v>
      </c>
      <c r="Z19" s="24">
        <v>336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0</v>
      </c>
      <c r="J20" s="44">
        <v>439</v>
      </c>
      <c r="K20" s="44">
        <v>479</v>
      </c>
      <c r="L20" s="44">
        <v>300</v>
      </c>
      <c r="M20" s="44">
        <v>521</v>
      </c>
      <c r="N20" s="44">
        <v>369</v>
      </c>
      <c r="O20" s="44">
        <v>419</v>
      </c>
      <c r="P20" s="44">
        <v>394</v>
      </c>
      <c r="Q20" s="44">
        <v>451</v>
      </c>
      <c r="R20" s="44">
        <v>316</v>
      </c>
      <c r="S20" s="44">
        <v>420</v>
      </c>
      <c r="T20" s="44">
        <v>442</v>
      </c>
      <c r="U20" s="44">
        <v>440</v>
      </c>
      <c r="V20" s="44">
        <v>587</v>
      </c>
      <c r="W20" s="44">
        <v>594</v>
      </c>
      <c r="X20" s="44">
        <v>565</v>
      </c>
      <c r="Y20" s="44">
        <v>337</v>
      </c>
      <c r="Z20" s="44">
        <v>336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1010</v>
      </c>
      <c r="J22" s="24">
        <v>1028</v>
      </c>
      <c r="K22" s="24">
        <v>1100</v>
      </c>
      <c r="L22" s="24">
        <v>1009</v>
      </c>
      <c r="M22" s="24">
        <v>1117</v>
      </c>
      <c r="N22" s="24">
        <v>1077</v>
      </c>
      <c r="O22" s="24">
        <v>1072</v>
      </c>
      <c r="P22" s="24">
        <v>1073</v>
      </c>
      <c r="Q22" s="24">
        <v>1108</v>
      </c>
      <c r="R22" s="24">
        <v>1123</v>
      </c>
      <c r="S22" s="24">
        <v>1112</v>
      </c>
      <c r="T22" s="24">
        <v>1127</v>
      </c>
      <c r="U22" s="24">
        <v>1150</v>
      </c>
      <c r="V22" s="24">
        <v>1328</v>
      </c>
      <c r="W22" s="24">
        <v>1382</v>
      </c>
      <c r="X22" s="24">
        <v>1346</v>
      </c>
      <c r="Y22" s="24">
        <v>1083</v>
      </c>
      <c r="Z22" s="24">
        <v>869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1010</v>
      </c>
      <c r="J23" s="44">
        <v>1028</v>
      </c>
      <c r="K23" s="44">
        <v>1100</v>
      </c>
      <c r="L23" s="44">
        <v>1009</v>
      </c>
      <c r="M23" s="44">
        <v>1117</v>
      </c>
      <c r="N23" s="44">
        <v>1077</v>
      </c>
      <c r="O23" s="44">
        <v>1072</v>
      </c>
      <c r="P23" s="44">
        <v>1073</v>
      </c>
      <c r="Q23" s="44">
        <v>1108</v>
      </c>
      <c r="R23" s="44">
        <v>1123</v>
      </c>
      <c r="S23" s="44">
        <v>1112</v>
      </c>
      <c r="T23" s="44">
        <v>1127</v>
      </c>
      <c r="U23" s="44">
        <v>1150</v>
      </c>
      <c r="V23" s="44">
        <v>1328</v>
      </c>
      <c r="W23" s="44">
        <v>1382</v>
      </c>
      <c r="X23" s="44">
        <v>1346</v>
      </c>
      <c r="Y23" s="44">
        <v>1083</v>
      </c>
      <c r="Z23" s="44">
        <v>869</v>
      </c>
      <c r="AA23" s="119"/>
    </row>
    <row r="24" spans="1:39" s="4" customFormat="1" ht="9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125</v>
      </c>
      <c r="J25" s="24">
        <v>421</v>
      </c>
      <c r="K25" s="24">
        <v>392</v>
      </c>
      <c r="L25" s="24">
        <v>391</v>
      </c>
      <c r="M25" s="24">
        <v>413</v>
      </c>
      <c r="N25" s="24">
        <v>407</v>
      </c>
      <c r="O25" s="24">
        <v>424</v>
      </c>
      <c r="P25" s="24">
        <v>393</v>
      </c>
      <c r="Q25" s="24">
        <v>416</v>
      </c>
      <c r="R25" s="24">
        <v>301</v>
      </c>
      <c r="S25" s="24">
        <v>427</v>
      </c>
      <c r="T25" s="24">
        <v>427</v>
      </c>
      <c r="U25" s="24">
        <v>417</v>
      </c>
      <c r="V25" s="24">
        <v>409</v>
      </c>
      <c r="W25" s="24">
        <v>536</v>
      </c>
      <c r="X25" s="24">
        <v>601</v>
      </c>
      <c r="Y25" s="24">
        <v>600</v>
      </c>
      <c r="Z25" s="24">
        <v>550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125</v>
      </c>
      <c r="J26" s="44">
        <v>421</v>
      </c>
      <c r="K26" s="44">
        <v>392</v>
      </c>
      <c r="L26" s="44">
        <v>391</v>
      </c>
      <c r="M26" s="44">
        <v>413</v>
      </c>
      <c r="N26" s="44">
        <v>407</v>
      </c>
      <c r="O26" s="44">
        <v>424</v>
      </c>
      <c r="P26" s="44">
        <v>393</v>
      </c>
      <c r="Q26" s="44">
        <v>416</v>
      </c>
      <c r="R26" s="44">
        <v>301</v>
      </c>
      <c r="S26" s="44">
        <v>427</v>
      </c>
      <c r="T26" s="44">
        <v>427</v>
      </c>
      <c r="U26" s="44">
        <v>417</v>
      </c>
      <c r="V26" s="44">
        <v>409</v>
      </c>
      <c r="W26" s="44">
        <v>536</v>
      </c>
      <c r="X26" s="44">
        <v>601</v>
      </c>
      <c r="Y26" s="44">
        <v>600</v>
      </c>
      <c r="Z26" s="44">
        <v>550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F22:F23"/>
    <mergeCell ref="G22:G23"/>
    <mergeCell ref="AA22:AA23"/>
    <mergeCell ref="I29:L29"/>
    <mergeCell ref="B34:M34"/>
    <mergeCell ref="A22:A23"/>
    <mergeCell ref="B22:B23"/>
    <mergeCell ref="C22:C23"/>
    <mergeCell ref="D22:D23"/>
    <mergeCell ref="E22:E23"/>
    <mergeCell ref="A18:AA18"/>
    <mergeCell ref="A19:A20"/>
    <mergeCell ref="B19:B20"/>
    <mergeCell ref="C19:C20"/>
    <mergeCell ref="D19:D20"/>
    <mergeCell ref="E19:E20"/>
    <mergeCell ref="F19:F20"/>
    <mergeCell ref="G19:G20"/>
    <mergeCell ref="AA19:AA20"/>
    <mergeCell ref="A15:AA15"/>
    <mergeCell ref="A16:A17"/>
    <mergeCell ref="B16:B17"/>
    <mergeCell ref="C16:C17"/>
    <mergeCell ref="D16:D17"/>
    <mergeCell ref="E16:E17"/>
    <mergeCell ref="F16:F17"/>
    <mergeCell ref="G16:G17"/>
    <mergeCell ref="AA16:AA17"/>
    <mergeCell ref="F13:F14"/>
    <mergeCell ref="G13:G14"/>
    <mergeCell ref="AA13:AA14"/>
    <mergeCell ref="A10:A11"/>
    <mergeCell ref="B10:B11"/>
    <mergeCell ref="C10:C11"/>
    <mergeCell ref="D10:D11"/>
    <mergeCell ref="E10:E11"/>
    <mergeCell ref="F10:F11"/>
    <mergeCell ref="A13:A14"/>
    <mergeCell ref="B13:B14"/>
    <mergeCell ref="C13:C14"/>
    <mergeCell ref="D13:D14"/>
    <mergeCell ref="E13:E14"/>
    <mergeCell ref="A1:AA1"/>
    <mergeCell ref="F2:G2"/>
    <mergeCell ref="A4:AA4"/>
    <mergeCell ref="A5:AA5"/>
    <mergeCell ref="A6:A9"/>
    <mergeCell ref="B6:H6"/>
    <mergeCell ref="I6:Z6"/>
    <mergeCell ref="AA6:AA9"/>
    <mergeCell ref="B7:D7"/>
    <mergeCell ref="E7:H7"/>
    <mergeCell ref="I7:Z7"/>
    <mergeCell ref="B8:Z8"/>
    <mergeCell ref="W2:AA2"/>
    <mergeCell ref="B35:G35"/>
    <mergeCell ref="H35:M35"/>
    <mergeCell ref="B36:G37"/>
    <mergeCell ref="H36:M37"/>
    <mergeCell ref="G10:G11"/>
    <mergeCell ref="A24:AA24"/>
    <mergeCell ref="A25:A26"/>
    <mergeCell ref="B25:B26"/>
    <mergeCell ref="C25:C26"/>
    <mergeCell ref="D25:D26"/>
    <mergeCell ref="E25:E26"/>
    <mergeCell ref="F25:F26"/>
    <mergeCell ref="G25:G26"/>
    <mergeCell ref="AA25:AA26"/>
    <mergeCell ref="AA10:AA11"/>
    <mergeCell ref="A12:AA12"/>
  </mergeCells>
  <conditionalFormatting sqref="I21:Z21">
    <cfRule type="colorScale" priority="3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118" priority="18" operator="greaterThan">
      <formula>95%</formula>
    </cfRule>
    <cfRule type="cellIs" dxfId="117" priority="19" operator="greaterThanOrEqual">
      <formula>90%</formula>
    </cfRule>
    <cfRule type="cellIs" dxfId="116" priority="20" operator="lessThan">
      <formula>89.99%</formula>
    </cfRule>
  </conditionalFormatting>
  <conditionalFormatting sqref="AA13">
    <cfRule type="cellIs" dxfId="115" priority="15" operator="greaterThan">
      <formula>95%</formula>
    </cfRule>
    <cfRule type="cellIs" dxfId="114" priority="16" operator="greaterThanOrEqual">
      <formula>90%</formula>
    </cfRule>
    <cfRule type="cellIs" dxfId="113" priority="17" operator="lessThan">
      <formula>89.99%</formula>
    </cfRule>
  </conditionalFormatting>
  <conditionalFormatting sqref="AA16">
    <cfRule type="cellIs" dxfId="112" priority="12" operator="greaterThan">
      <formula>95%</formula>
    </cfRule>
    <cfRule type="cellIs" dxfId="111" priority="13" operator="greaterThanOrEqual">
      <formula>90%</formula>
    </cfRule>
    <cfRule type="cellIs" dxfId="110" priority="14" operator="lessThan">
      <formula>89.99%</formula>
    </cfRule>
  </conditionalFormatting>
  <conditionalFormatting sqref="AA19">
    <cfRule type="cellIs" dxfId="109" priority="9" operator="greaterThan">
      <formula>95%</formula>
    </cfRule>
    <cfRule type="cellIs" dxfId="108" priority="10" operator="greaterThanOrEqual">
      <formula>90%</formula>
    </cfRule>
    <cfRule type="cellIs" dxfId="107" priority="11" operator="lessThan">
      <formula>89.99%</formula>
    </cfRule>
  </conditionalFormatting>
  <conditionalFormatting sqref="AA22">
    <cfRule type="cellIs" dxfId="106" priority="1" operator="greaterThanOrEqual">
      <formula>100%</formula>
    </cfRule>
    <cfRule type="cellIs" dxfId="105" priority="2" operator="lessThan">
      <formula>99.99%</formula>
    </cfRule>
  </conditionalFormatting>
  <conditionalFormatting sqref="AA25">
    <cfRule type="cellIs" dxfId="104" priority="3" operator="greaterThan">
      <formula>95%</formula>
    </cfRule>
    <cfRule type="cellIs" dxfId="103" priority="4" operator="greaterThanOrEqual">
      <formula>90%</formula>
    </cfRule>
    <cfRule type="cellIs" dxfId="102" priority="5" operator="lessThan">
      <formula>89.99%</formula>
    </cfRule>
  </conditionalFormatting>
  <dataValidations count="1">
    <dataValidation showDropDown="1" showInputMessage="1" showErrorMessage="1" sqref="C21 G19:G23 G10:G11 G16:G17 G13:G14 G25:G26" xr:uid="{A9376E67-BA8D-4BC4-A8D0-A5B8CB9F3715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A5227D-94C1-3245-A4C4-8C63A690ED5B}">
  <sheetPr>
    <tabColor rgb="FFFF0000"/>
  </sheetPr>
  <dimension ref="A1:AM38"/>
  <sheetViews>
    <sheetView showGridLines="0" zoomScale="55" zoomScaleNormal="55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10</v>
      </c>
      <c r="F2" s="129" t="s">
        <v>25</v>
      </c>
      <c r="G2" s="129"/>
      <c r="H2" s="22">
        <v>161052</v>
      </c>
      <c r="I2" s="21"/>
      <c r="J2" s="21"/>
      <c r="K2" s="21"/>
      <c r="L2" s="21"/>
      <c r="M2" s="21"/>
      <c r="N2" s="21"/>
      <c r="O2" s="21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116</v>
      </c>
      <c r="J10" s="24">
        <v>650</v>
      </c>
      <c r="K10" s="24">
        <v>625</v>
      </c>
      <c r="L10" s="24">
        <v>708</v>
      </c>
      <c r="M10" s="24">
        <v>718</v>
      </c>
      <c r="N10" s="24">
        <v>650</v>
      </c>
      <c r="O10" s="24">
        <v>742</v>
      </c>
      <c r="P10" s="24">
        <v>677</v>
      </c>
      <c r="Q10" s="24">
        <v>625</v>
      </c>
      <c r="R10" s="24">
        <v>537</v>
      </c>
      <c r="S10" s="24">
        <v>828</v>
      </c>
      <c r="T10" s="24">
        <v>866</v>
      </c>
      <c r="U10" s="24">
        <v>775</v>
      </c>
      <c r="V10" s="24">
        <v>962</v>
      </c>
      <c r="W10" s="24">
        <v>976</v>
      </c>
      <c r="X10" s="24">
        <v>811</v>
      </c>
      <c r="Y10" s="24">
        <v>983</v>
      </c>
      <c r="Z10" s="24">
        <v>819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116</v>
      </c>
      <c r="J11" s="44">
        <v>650</v>
      </c>
      <c r="K11" s="44">
        <v>625</v>
      </c>
      <c r="L11" s="44">
        <v>708</v>
      </c>
      <c r="M11" s="44">
        <v>718</v>
      </c>
      <c r="N11" s="44">
        <v>650</v>
      </c>
      <c r="O11" s="44">
        <v>742</v>
      </c>
      <c r="P11" s="44">
        <v>677</v>
      </c>
      <c r="Q11" s="44">
        <v>625</v>
      </c>
      <c r="R11" s="44">
        <v>537</v>
      </c>
      <c r="S11" s="44">
        <v>828</v>
      </c>
      <c r="T11" s="44">
        <v>866</v>
      </c>
      <c r="U11" s="44">
        <v>775</v>
      </c>
      <c r="V11" s="44">
        <v>962</v>
      </c>
      <c r="W11" s="44">
        <v>976</v>
      </c>
      <c r="X11" s="44">
        <v>811</v>
      </c>
      <c r="Y11" s="44">
        <v>983</v>
      </c>
      <c r="Z11" s="44">
        <v>819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115</v>
      </c>
      <c r="J13" s="24">
        <v>649</v>
      </c>
      <c r="K13" s="24">
        <v>621</v>
      </c>
      <c r="L13" s="24">
        <v>702</v>
      </c>
      <c r="M13" s="24">
        <v>717</v>
      </c>
      <c r="N13" s="24">
        <v>648</v>
      </c>
      <c r="O13" s="24">
        <v>738</v>
      </c>
      <c r="P13" s="24">
        <v>675</v>
      </c>
      <c r="Q13" s="24">
        <v>622</v>
      </c>
      <c r="R13" s="24">
        <v>535</v>
      </c>
      <c r="S13" s="24">
        <v>821</v>
      </c>
      <c r="T13" s="24">
        <v>863</v>
      </c>
      <c r="U13" s="24">
        <v>770</v>
      </c>
      <c r="V13" s="24">
        <v>961</v>
      </c>
      <c r="W13" s="24">
        <v>975</v>
      </c>
      <c r="X13" s="24">
        <v>809</v>
      </c>
      <c r="Y13" s="24">
        <v>583</v>
      </c>
      <c r="Z13" s="24">
        <v>978</v>
      </c>
      <c r="AA13" s="119">
        <f>IFERROR(SUM(I13:Z13)/SUM(I14:Z14),0)</f>
        <v>0.9660645453858363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116</v>
      </c>
      <c r="J14" s="44">
        <v>650</v>
      </c>
      <c r="K14" s="44">
        <v>625</v>
      </c>
      <c r="L14" s="44">
        <v>708</v>
      </c>
      <c r="M14" s="44">
        <v>718</v>
      </c>
      <c r="N14" s="44">
        <v>650</v>
      </c>
      <c r="O14" s="44">
        <v>742</v>
      </c>
      <c r="P14" s="44">
        <v>677</v>
      </c>
      <c r="Q14" s="44">
        <v>625</v>
      </c>
      <c r="R14" s="44">
        <v>537</v>
      </c>
      <c r="S14" s="44">
        <v>828</v>
      </c>
      <c r="T14" s="44">
        <v>866</v>
      </c>
      <c r="U14" s="44">
        <v>775</v>
      </c>
      <c r="V14" s="44">
        <v>962</v>
      </c>
      <c r="W14" s="44">
        <v>976</v>
      </c>
      <c r="X14" s="44">
        <v>811</v>
      </c>
      <c r="Y14" s="44">
        <v>983</v>
      </c>
      <c r="Z14" s="44">
        <v>982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116</v>
      </c>
      <c r="J16" s="24">
        <v>650</v>
      </c>
      <c r="K16" s="24">
        <v>625</v>
      </c>
      <c r="L16" s="24">
        <v>708</v>
      </c>
      <c r="M16" s="24">
        <v>718</v>
      </c>
      <c r="N16" s="24">
        <v>650</v>
      </c>
      <c r="O16" s="24">
        <v>742</v>
      </c>
      <c r="P16" s="24">
        <v>677</v>
      </c>
      <c r="Q16" s="24">
        <v>625</v>
      </c>
      <c r="R16" s="24">
        <v>537</v>
      </c>
      <c r="S16" s="24">
        <v>828</v>
      </c>
      <c r="T16" s="24">
        <v>866</v>
      </c>
      <c r="U16" s="24">
        <v>775</v>
      </c>
      <c r="V16" s="24">
        <v>962</v>
      </c>
      <c r="W16" s="24">
        <v>976</v>
      </c>
      <c r="X16" s="24">
        <v>811</v>
      </c>
      <c r="Y16" s="24">
        <v>983</v>
      </c>
      <c r="Z16" s="24">
        <v>982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116</v>
      </c>
      <c r="J17" s="44">
        <v>650</v>
      </c>
      <c r="K17" s="44">
        <v>625</v>
      </c>
      <c r="L17" s="44">
        <v>708</v>
      </c>
      <c r="M17" s="44">
        <v>718</v>
      </c>
      <c r="N17" s="44">
        <v>650</v>
      </c>
      <c r="O17" s="44">
        <v>742</v>
      </c>
      <c r="P17" s="44">
        <v>677</v>
      </c>
      <c r="Q17" s="44">
        <v>625</v>
      </c>
      <c r="R17" s="44">
        <v>537</v>
      </c>
      <c r="S17" s="44">
        <v>828</v>
      </c>
      <c r="T17" s="44">
        <v>866</v>
      </c>
      <c r="U17" s="44">
        <v>775</v>
      </c>
      <c r="V17" s="44">
        <v>962</v>
      </c>
      <c r="W17" s="44">
        <v>976</v>
      </c>
      <c r="X17" s="44">
        <v>811</v>
      </c>
      <c r="Y17" s="44">
        <v>983</v>
      </c>
      <c r="Z17" s="44">
        <v>982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0</v>
      </c>
      <c r="J19" s="24">
        <v>675</v>
      </c>
      <c r="K19" s="24">
        <v>809</v>
      </c>
      <c r="L19" s="24">
        <v>639</v>
      </c>
      <c r="M19" s="24">
        <v>680</v>
      </c>
      <c r="N19" s="24">
        <v>683</v>
      </c>
      <c r="O19" s="24">
        <v>727</v>
      </c>
      <c r="P19" s="24">
        <v>686</v>
      </c>
      <c r="Q19" s="24">
        <v>661</v>
      </c>
      <c r="R19" s="24">
        <v>494</v>
      </c>
      <c r="S19" s="24">
        <v>771</v>
      </c>
      <c r="T19" s="24">
        <v>862</v>
      </c>
      <c r="U19" s="24">
        <v>753</v>
      </c>
      <c r="V19" s="24">
        <v>924</v>
      </c>
      <c r="W19" s="24">
        <v>989</v>
      </c>
      <c r="X19" s="24">
        <v>953</v>
      </c>
      <c r="Y19" s="24">
        <v>542</v>
      </c>
      <c r="Z19" s="24">
        <v>445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0</v>
      </c>
      <c r="J20" s="44">
        <v>675</v>
      </c>
      <c r="K20" s="44">
        <v>809</v>
      </c>
      <c r="L20" s="44">
        <v>639</v>
      </c>
      <c r="M20" s="44">
        <v>680</v>
      </c>
      <c r="N20" s="44">
        <v>683</v>
      </c>
      <c r="O20" s="44">
        <v>727</v>
      </c>
      <c r="P20" s="44">
        <v>686</v>
      </c>
      <c r="Q20" s="44">
        <v>661</v>
      </c>
      <c r="R20" s="44">
        <v>494</v>
      </c>
      <c r="S20" s="44">
        <v>771</v>
      </c>
      <c r="T20" s="44">
        <v>862</v>
      </c>
      <c r="U20" s="44">
        <v>753</v>
      </c>
      <c r="V20" s="44">
        <v>924</v>
      </c>
      <c r="W20" s="44">
        <v>989</v>
      </c>
      <c r="X20" s="44">
        <v>953</v>
      </c>
      <c r="Y20" s="44">
        <v>542</v>
      </c>
      <c r="Z20" s="44">
        <v>445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1400</v>
      </c>
      <c r="J22" s="24">
        <v>1401</v>
      </c>
      <c r="K22" s="24">
        <v>1579</v>
      </c>
      <c r="L22" s="24">
        <v>1524</v>
      </c>
      <c r="M22" s="24">
        <v>1535</v>
      </c>
      <c r="N22" s="24">
        <v>1537</v>
      </c>
      <c r="O22" s="24">
        <v>1605</v>
      </c>
      <c r="P22" s="24">
        <v>1580</v>
      </c>
      <c r="Q22" s="24">
        <v>1527</v>
      </c>
      <c r="R22" s="24">
        <v>1448</v>
      </c>
      <c r="S22" s="24">
        <v>1451</v>
      </c>
      <c r="T22" s="24">
        <v>1605</v>
      </c>
      <c r="U22" s="24">
        <v>1617</v>
      </c>
      <c r="V22" s="24">
        <v>1805</v>
      </c>
      <c r="W22" s="24">
        <v>1936</v>
      </c>
      <c r="X22" s="24">
        <v>2010</v>
      </c>
      <c r="Y22" s="24">
        <v>1483</v>
      </c>
      <c r="Z22" s="24">
        <v>1154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1400</v>
      </c>
      <c r="J23" s="44">
        <v>1401</v>
      </c>
      <c r="K23" s="44">
        <v>1579</v>
      </c>
      <c r="L23" s="44">
        <v>1524</v>
      </c>
      <c r="M23" s="44">
        <v>1535</v>
      </c>
      <c r="N23" s="44">
        <v>1537</v>
      </c>
      <c r="O23" s="44">
        <v>1605</v>
      </c>
      <c r="P23" s="44">
        <v>1580</v>
      </c>
      <c r="Q23" s="44">
        <v>1527</v>
      </c>
      <c r="R23" s="44">
        <v>1448</v>
      </c>
      <c r="S23" s="44">
        <v>1451</v>
      </c>
      <c r="T23" s="44">
        <v>1605</v>
      </c>
      <c r="U23" s="44">
        <v>1617</v>
      </c>
      <c r="V23" s="44">
        <v>1805</v>
      </c>
      <c r="W23" s="44">
        <v>1936</v>
      </c>
      <c r="X23" s="44">
        <v>2010</v>
      </c>
      <c r="Y23" s="44">
        <v>1483</v>
      </c>
      <c r="Z23" s="44">
        <v>1154</v>
      </c>
      <c r="AA23" s="119"/>
    </row>
    <row r="24" spans="1:39" s="4" customFormat="1" ht="9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147</v>
      </c>
      <c r="J25" s="24">
        <v>674</v>
      </c>
      <c r="K25" s="24">
        <v>620</v>
      </c>
      <c r="L25" s="24">
        <v>694</v>
      </c>
      <c r="M25" s="24">
        <v>669</v>
      </c>
      <c r="N25" s="24">
        <v>678</v>
      </c>
      <c r="O25" s="24">
        <v>659</v>
      </c>
      <c r="P25" s="24">
        <v>710</v>
      </c>
      <c r="Q25" s="24">
        <v>714</v>
      </c>
      <c r="R25" s="24">
        <v>573</v>
      </c>
      <c r="S25" s="24">
        <v>701</v>
      </c>
      <c r="T25" s="24">
        <v>708</v>
      </c>
      <c r="U25" s="24">
        <v>741</v>
      </c>
      <c r="V25" s="24">
        <v>736</v>
      </c>
      <c r="W25" s="24">
        <v>855</v>
      </c>
      <c r="X25" s="24">
        <v>879</v>
      </c>
      <c r="Y25" s="24">
        <v>1069</v>
      </c>
      <c r="Z25" s="24">
        <v>774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147</v>
      </c>
      <c r="J26" s="44">
        <v>674</v>
      </c>
      <c r="K26" s="44">
        <v>620</v>
      </c>
      <c r="L26" s="44">
        <v>694</v>
      </c>
      <c r="M26" s="44">
        <v>669</v>
      </c>
      <c r="N26" s="44">
        <v>678</v>
      </c>
      <c r="O26" s="44">
        <v>659</v>
      </c>
      <c r="P26" s="44">
        <v>710</v>
      </c>
      <c r="Q26" s="44">
        <v>714</v>
      </c>
      <c r="R26" s="44">
        <v>573</v>
      </c>
      <c r="S26" s="44">
        <v>701</v>
      </c>
      <c r="T26" s="44">
        <v>708</v>
      </c>
      <c r="U26" s="44">
        <v>741</v>
      </c>
      <c r="V26" s="44">
        <v>736</v>
      </c>
      <c r="W26" s="44">
        <v>855</v>
      </c>
      <c r="X26" s="44">
        <v>879</v>
      </c>
      <c r="Y26" s="44">
        <v>1069</v>
      </c>
      <c r="Z26" s="44">
        <v>774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F22:F23"/>
    <mergeCell ref="G22:G23"/>
    <mergeCell ref="AA22:AA23"/>
    <mergeCell ref="I29:L29"/>
    <mergeCell ref="B34:M34"/>
    <mergeCell ref="A22:A23"/>
    <mergeCell ref="B22:B23"/>
    <mergeCell ref="C22:C23"/>
    <mergeCell ref="D22:D23"/>
    <mergeCell ref="E22:E23"/>
    <mergeCell ref="A18:AA18"/>
    <mergeCell ref="A19:A20"/>
    <mergeCell ref="B19:B20"/>
    <mergeCell ref="C19:C20"/>
    <mergeCell ref="D19:D20"/>
    <mergeCell ref="E19:E20"/>
    <mergeCell ref="F19:F20"/>
    <mergeCell ref="G19:G20"/>
    <mergeCell ref="AA19:AA20"/>
    <mergeCell ref="A15:AA15"/>
    <mergeCell ref="A16:A17"/>
    <mergeCell ref="B16:B17"/>
    <mergeCell ref="C16:C17"/>
    <mergeCell ref="D16:D17"/>
    <mergeCell ref="E16:E17"/>
    <mergeCell ref="F16:F17"/>
    <mergeCell ref="G16:G17"/>
    <mergeCell ref="AA16:AA17"/>
    <mergeCell ref="F13:F14"/>
    <mergeCell ref="G13:G14"/>
    <mergeCell ref="AA13:AA14"/>
    <mergeCell ref="A10:A11"/>
    <mergeCell ref="B10:B11"/>
    <mergeCell ref="C10:C11"/>
    <mergeCell ref="D10:D11"/>
    <mergeCell ref="E10:E11"/>
    <mergeCell ref="F10:F11"/>
    <mergeCell ref="A13:A14"/>
    <mergeCell ref="B13:B14"/>
    <mergeCell ref="C13:C14"/>
    <mergeCell ref="D13:D14"/>
    <mergeCell ref="E13:E14"/>
    <mergeCell ref="A1:AA1"/>
    <mergeCell ref="F2:G2"/>
    <mergeCell ref="A4:AA4"/>
    <mergeCell ref="A5:AA5"/>
    <mergeCell ref="A6:A9"/>
    <mergeCell ref="B6:H6"/>
    <mergeCell ref="I6:Z6"/>
    <mergeCell ref="AA6:AA9"/>
    <mergeCell ref="B7:D7"/>
    <mergeCell ref="E7:H7"/>
    <mergeCell ref="I7:Z7"/>
    <mergeCell ref="B8:Z8"/>
    <mergeCell ref="W2:AA2"/>
    <mergeCell ref="B35:G35"/>
    <mergeCell ref="H35:M35"/>
    <mergeCell ref="B36:G37"/>
    <mergeCell ref="H36:M37"/>
    <mergeCell ref="G10:G11"/>
    <mergeCell ref="A24:AA24"/>
    <mergeCell ref="A25:A26"/>
    <mergeCell ref="B25:B26"/>
    <mergeCell ref="C25:C26"/>
    <mergeCell ref="D25:D26"/>
    <mergeCell ref="E25:E26"/>
    <mergeCell ref="F25:F26"/>
    <mergeCell ref="G25:G26"/>
    <mergeCell ref="AA25:AA26"/>
    <mergeCell ref="AA10:AA11"/>
    <mergeCell ref="A12:AA12"/>
  </mergeCells>
  <conditionalFormatting sqref="I21:Z21">
    <cfRule type="colorScale" priority="3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101" priority="18" operator="greaterThan">
      <formula>95%</formula>
    </cfRule>
    <cfRule type="cellIs" dxfId="100" priority="19" operator="greaterThanOrEqual">
      <formula>90%</formula>
    </cfRule>
    <cfRule type="cellIs" dxfId="99" priority="20" operator="lessThan">
      <formula>89.99%</formula>
    </cfRule>
  </conditionalFormatting>
  <conditionalFormatting sqref="AA13">
    <cfRule type="cellIs" dxfId="98" priority="15" operator="greaterThan">
      <formula>95%</formula>
    </cfRule>
    <cfRule type="cellIs" dxfId="97" priority="16" operator="greaterThanOrEqual">
      <formula>90%</formula>
    </cfRule>
    <cfRule type="cellIs" dxfId="96" priority="17" operator="lessThan">
      <formula>89.99%</formula>
    </cfRule>
  </conditionalFormatting>
  <conditionalFormatting sqref="AA16">
    <cfRule type="cellIs" dxfId="95" priority="12" operator="greaterThan">
      <formula>95%</formula>
    </cfRule>
    <cfRule type="cellIs" dxfId="94" priority="13" operator="greaterThanOrEqual">
      <formula>90%</formula>
    </cfRule>
    <cfRule type="cellIs" dxfId="93" priority="14" operator="lessThan">
      <formula>89.99%</formula>
    </cfRule>
  </conditionalFormatting>
  <conditionalFormatting sqref="AA19">
    <cfRule type="cellIs" dxfId="92" priority="9" operator="greaterThan">
      <formula>95%</formula>
    </cfRule>
    <cfRule type="cellIs" dxfId="91" priority="10" operator="greaterThanOrEqual">
      <formula>90%</formula>
    </cfRule>
    <cfRule type="cellIs" dxfId="90" priority="11" operator="lessThan">
      <formula>89.99%</formula>
    </cfRule>
  </conditionalFormatting>
  <conditionalFormatting sqref="AA22">
    <cfRule type="cellIs" dxfId="89" priority="1" operator="greaterThanOrEqual">
      <formula>100%</formula>
    </cfRule>
    <cfRule type="cellIs" dxfId="88" priority="2" operator="lessThan">
      <formula>99.99%</formula>
    </cfRule>
  </conditionalFormatting>
  <conditionalFormatting sqref="AA25">
    <cfRule type="cellIs" dxfId="87" priority="3" operator="greaterThan">
      <formula>95%</formula>
    </cfRule>
    <cfRule type="cellIs" dxfId="86" priority="4" operator="greaterThanOrEqual">
      <formula>90%</formula>
    </cfRule>
    <cfRule type="cellIs" dxfId="85" priority="5" operator="lessThan">
      <formula>89.99%</formula>
    </cfRule>
  </conditionalFormatting>
  <dataValidations disablePrompts="1" count="1">
    <dataValidation showDropDown="1" showInputMessage="1" showErrorMessage="1" sqref="C21 G19:G23 G10:G11 G16:G17 G13:G14 G25:G26" xr:uid="{7DF1A339-8290-4174-A373-3251880B7AAC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3BB64C-5DA3-4217-B539-D5CE4A1766B6}">
  <sheetPr>
    <tabColor theme="5" tint="-0.249977111117893"/>
  </sheetPr>
  <dimension ref="A1:AM38"/>
  <sheetViews>
    <sheetView showGridLines="0" topLeftCell="A3" zoomScale="66" zoomScaleNormal="66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11</v>
      </c>
      <c r="F2" s="129" t="s">
        <v>25</v>
      </c>
      <c r="G2" s="129"/>
      <c r="H2" s="22">
        <v>161151</v>
      </c>
      <c r="I2" s="21"/>
      <c r="J2" s="21"/>
      <c r="K2" s="21"/>
      <c r="L2" s="21"/>
      <c r="M2" s="21"/>
      <c r="N2" s="21"/>
      <c r="O2" s="21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63</v>
      </c>
      <c r="J10" s="24">
        <v>355</v>
      </c>
      <c r="K10" s="24">
        <v>371</v>
      </c>
      <c r="L10" s="24">
        <v>361</v>
      </c>
      <c r="M10" s="24">
        <v>360</v>
      </c>
      <c r="N10" s="24">
        <v>350</v>
      </c>
      <c r="O10" s="24">
        <v>339</v>
      </c>
      <c r="P10" s="24">
        <v>413</v>
      </c>
      <c r="Q10" s="24">
        <v>361</v>
      </c>
      <c r="R10" s="24">
        <v>275</v>
      </c>
      <c r="S10" s="24">
        <v>489</v>
      </c>
      <c r="T10" s="24">
        <v>541</v>
      </c>
      <c r="U10" s="24">
        <v>503</v>
      </c>
      <c r="V10" s="24">
        <v>596</v>
      </c>
      <c r="W10" s="24">
        <v>346</v>
      </c>
      <c r="X10" s="24">
        <v>573</v>
      </c>
      <c r="Y10" s="24">
        <v>670</v>
      </c>
      <c r="Z10" s="24">
        <v>568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63</v>
      </c>
      <c r="J11" s="44">
        <v>355</v>
      </c>
      <c r="K11" s="44">
        <v>371</v>
      </c>
      <c r="L11" s="44">
        <v>361</v>
      </c>
      <c r="M11" s="44">
        <v>360</v>
      </c>
      <c r="N11" s="44">
        <v>350</v>
      </c>
      <c r="O11" s="44">
        <v>339</v>
      </c>
      <c r="P11" s="44">
        <v>413</v>
      </c>
      <c r="Q11" s="44">
        <v>361</v>
      </c>
      <c r="R11" s="44">
        <v>275</v>
      </c>
      <c r="S11" s="44">
        <v>489</v>
      </c>
      <c r="T11" s="44">
        <v>541</v>
      </c>
      <c r="U11" s="44">
        <v>503</v>
      </c>
      <c r="V11" s="44">
        <v>596</v>
      </c>
      <c r="W11" s="44">
        <v>346</v>
      </c>
      <c r="X11" s="44">
        <v>573</v>
      </c>
      <c r="Y11" s="44">
        <v>670</v>
      </c>
      <c r="Z11" s="44">
        <v>568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63</v>
      </c>
      <c r="J13" s="24">
        <v>353</v>
      </c>
      <c r="K13" s="24">
        <v>365</v>
      </c>
      <c r="L13" s="24">
        <v>359</v>
      </c>
      <c r="M13" s="24">
        <v>359</v>
      </c>
      <c r="N13" s="24">
        <v>349</v>
      </c>
      <c r="O13" s="24">
        <v>334</v>
      </c>
      <c r="P13" s="24">
        <v>411</v>
      </c>
      <c r="Q13" s="24">
        <v>359</v>
      </c>
      <c r="R13" s="24">
        <v>273</v>
      </c>
      <c r="S13" s="24">
        <v>484</v>
      </c>
      <c r="T13" s="24">
        <v>537</v>
      </c>
      <c r="U13" s="24">
        <v>500</v>
      </c>
      <c r="V13" s="24">
        <v>598</v>
      </c>
      <c r="W13" s="24">
        <v>582</v>
      </c>
      <c r="X13" s="24">
        <v>523</v>
      </c>
      <c r="Y13" s="24">
        <v>670</v>
      </c>
      <c r="Z13" s="24">
        <v>568</v>
      </c>
      <c r="AA13" s="119">
        <f>IFERROR(SUM(I13:Z13)/SUM(I14:Z14),0)</f>
        <v>0.99482334670635431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63</v>
      </c>
      <c r="J14" s="44">
        <v>356</v>
      </c>
      <c r="K14" s="44">
        <v>371</v>
      </c>
      <c r="L14" s="44">
        <v>361</v>
      </c>
      <c r="M14" s="44">
        <v>360</v>
      </c>
      <c r="N14" s="44">
        <v>350</v>
      </c>
      <c r="O14" s="44">
        <v>339</v>
      </c>
      <c r="P14" s="44">
        <v>413</v>
      </c>
      <c r="Q14" s="44">
        <v>361</v>
      </c>
      <c r="R14" s="44">
        <v>275</v>
      </c>
      <c r="S14" s="44">
        <v>489</v>
      </c>
      <c r="T14" s="44">
        <v>541</v>
      </c>
      <c r="U14" s="44">
        <v>503</v>
      </c>
      <c r="V14" s="44">
        <v>598</v>
      </c>
      <c r="W14" s="44">
        <v>585</v>
      </c>
      <c r="X14" s="44">
        <v>524</v>
      </c>
      <c r="Y14" s="44">
        <v>670</v>
      </c>
      <c r="Z14" s="44">
        <v>568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63</v>
      </c>
      <c r="J16" s="24">
        <v>355</v>
      </c>
      <c r="K16" s="24">
        <v>371</v>
      </c>
      <c r="L16" s="24">
        <v>361</v>
      </c>
      <c r="M16" s="24">
        <v>360</v>
      </c>
      <c r="N16" s="24">
        <v>350</v>
      </c>
      <c r="O16" s="24">
        <v>339</v>
      </c>
      <c r="P16" s="24">
        <v>413</v>
      </c>
      <c r="Q16" s="24">
        <v>361</v>
      </c>
      <c r="R16" s="24">
        <v>275</v>
      </c>
      <c r="S16" s="24">
        <v>489</v>
      </c>
      <c r="T16" s="24">
        <v>541</v>
      </c>
      <c r="U16" s="24">
        <v>503</v>
      </c>
      <c r="V16" s="24">
        <v>598</v>
      </c>
      <c r="W16" s="24">
        <v>586</v>
      </c>
      <c r="X16" s="24">
        <v>573</v>
      </c>
      <c r="Y16" s="24">
        <v>670</v>
      </c>
      <c r="Z16" s="24">
        <v>568</v>
      </c>
      <c r="AA16" s="119">
        <f>IFERROR(SUM(I16:Z16)/SUM(I17:Z17),0)</f>
        <v>1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63</v>
      </c>
      <c r="J17" s="44">
        <v>355</v>
      </c>
      <c r="K17" s="44">
        <v>371</v>
      </c>
      <c r="L17" s="44">
        <v>361</v>
      </c>
      <c r="M17" s="44">
        <v>360</v>
      </c>
      <c r="N17" s="44">
        <v>350</v>
      </c>
      <c r="O17" s="44">
        <v>339</v>
      </c>
      <c r="P17" s="44">
        <v>413</v>
      </c>
      <c r="Q17" s="44">
        <v>361</v>
      </c>
      <c r="R17" s="44">
        <v>275</v>
      </c>
      <c r="S17" s="44">
        <v>489</v>
      </c>
      <c r="T17" s="44">
        <v>541</v>
      </c>
      <c r="U17" s="44">
        <v>503</v>
      </c>
      <c r="V17" s="44">
        <v>598</v>
      </c>
      <c r="W17" s="44">
        <v>586</v>
      </c>
      <c r="X17" s="44">
        <v>573</v>
      </c>
      <c r="Y17" s="44">
        <v>670</v>
      </c>
      <c r="Z17" s="44">
        <v>568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98</v>
      </c>
      <c r="J19" s="24">
        <v>275</v>
      </c>
      <c r="K19" s="24">
        <v>299</v>
      </c>
      <c r="L19" s="24">
        <v>503</v>
      </c>
      <c r="M19" s="24">
        <v>114</v>
      </c>
      <c r="N19" s="24">
        <v>587</v>
      </c>
      <c r="O19" s="24">
        <v>347</v>
      </c>
      <c r="P19" s="24">
        <v>310</v>
      </c>
      <c r="Q19" s="24">
        <v>433</v>
      </c>
      <c r="R19" s="24">
        <v>143</v>
      </c>
      <c r="S19" s="24">
        <v>518</v>
      </c>
      <c r="T19" s="24">
        <v>469</v>
      </c>
      <c r="U19" s="24">
        <v>423</v>
      </c>
      <c r="V19" s="24">
        <v>622</v>
      </c>
      <c r="W19" s="24">
        <v>714</v>
      </c>
      <c r="X19" s="24">
        <v>435</v>
      </c>
      <c r="Y19" s="24">
        <v>513</v>
      </c>
      <c r="Z19" s="24">
        <v>305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98</v>
      </c>
      <c r="J20" s="44">
        <v>275</v>
      </c>
      <c r="K20" s="44">
        <v>299</v>
      </c>
      <c r="L20" s="44">
        <v>503</v>
      </c>
      <c r="M20" s="44">
        <v>114</v>
      </c>
      <c r="N20" s="44">
        <v>587</v>
      </c>
      <c r="O20" s="44">
        <v>347</v>
      </c>
      <c r="P20" s="44">
        <v>310</v>
      </c>
      <c r="Q20" s="44">
        <v>433</v>
      </c>
      <c r="R20" s="44">
        <v>143</v>
      </c>
      <c r="S20" s="44">
        <v>518</v>
      </c>
      <c r="T20" s="44">
        <v>469</v>
      </c>
      <c r="U20" s="44">
        <v>423</v>
      </c>
      <c r="V20" s="44">
        <v>622</v>
      </c>
      <c r="W20" s="44">
        <v>714</v>
      </c>
      <c r="X20" s="44">
        <v>435</v>
      </c>
      <c r="Y20" s="44">
        <v>513</v>
      </c>
      <c r="Z20" s="44">
        <v>305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973</v>
      </c>
      <c r="J22" s="24">
        <v>837</v>
      </c>
      <c r="K22" s="24">
        <v>774</v>
      </c>
      <c r="L22" s="24">
        <v>878</v>
      </c>
      <c r="M22" s="24">
        <v>640</v>
      </c>
      <c r="N22" s="24">
        <v>886</v>
      </c>
      <c r="O22" s="24">
        <v>855</v>
      </c>
      <c r="P22" s="24">
        <v>785</v>
      </c>
      <c r="Q22" s="24">
        <v>764</v>
      </c>
      <c r="R22" s="24">
        <v>634</v>
      </c>
      <c r="S22" s="24">
        <v>842</v>
      </c>
      <c r="T22" s="24">
        <v>892</v>
      </c>
      <c r="U22" s="24">
        <v>843</v>
      </c>
      <c r="V22" s="24">
        <v>951</v>
      </c>
      <c r="W22" s="24">
        <v>1075</v>
      </c>
      <c r="X22" s="24">
        <v>971</v>
      </c>
      <c r="Y22" s="24">
        <v>857</v>
      </c>
      <c r="Z22" s="24">
        <v>577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973</v>
      </c>
      <c r="J23" s="44">
        <v>837</v>
      </c>
      <c r="K23" s="44">
        <v>774</v>
      </c>
      <c r="L23" s="44">
        <v>878</v>
      </c>
      <c r="M23" s="44">
        <v>640</v>
      </c>
      <c r="N23" s="44">
        <v>886</v>
      </c>
      <c r="O23" s="44">
        <v>855</v>
      </c>
      <c r="P23" s="44">
        <v>785</v>
      </c>
      <c r="Q23" s="44">
        <v>764</v>
      </c>
      <c r="R23" s="44">
        <v>634</v>
      </c>
      <c r="S23" s="44">
        <v>842</v>
      </c>
      <c r="T23" s="44">
        <v>892</v>
      </c>
      <c r="U23" s="44">
        <v>843</v>
      </c>
      <c r="V23" s="44">
        <v>951</v>
      </c>
      <c r="W23" s="44">
        <v>1075</v>
      </c>
      <c r="X23" s="44">
        <v>971</v>
      </c>
      <c r="Y23" s="44">
        <v>857</v>
      </c>
      <c r="Z23" s="44">
        <v>577</v>
      </c>
      <c r="AA23" s="119"/>
    </row>
    <row r="24" spans="1:39" s="4" customFormat="1" ht="9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101</v>
      </c>
      <c r="J25" s="24">
        <v>410</v>
      </c>
      <c r="K25" s="24">
        <v>353</v>
      </c>
      <c r="L25" s="24">
        <v>399</v>
      </c>
      <c r="M25" s="24">
        <v>352</v>
      </c>
      <c r="N25" s="24">
        <v>337</v>
      </c>
      <c r="O25" s="24">
        <v>378</v>
      </c>
      <c r="P25" s="24">
        <v>380</v>
      </c>
      <c r="Q25" s="24">
        <v>454</v>
      </c>
      <c r="R25" s="24">
        <v>273</v>
      </c>
      <c r="S25" s="24">
        <v>305</v>
      </c>
      <c r="T25" s="24">
        <v>419</v>
      </c>
      <c r="U25" s="24">
        <v>472</v>
      </c>
      <c r="V25" s="24">
        <v>514</v>
      </c>
      <c r="W25" s="24">
        <v>585</v>
      </c>
      <c r="X25" s="24">
        <v>536</v>
      </c>
      <c r="Y25" s="24">
        <v>625</v>
      </c>
      <c r="Z25" s="24">
        <v>575</v>
      </c>
      <c r="AA25" s="119">
        <f>IFERROR(SUM(I25:Z25)/SUM(I26:Z26),0)</f>
        <v>0.99839572192513371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101</v>
      </c>
      <c r="J26" s="44">
        <v>410</v>
      </c>
      <c r="K26" s="44">
        <v>353</v>
      </c>
      <c r="L26" s="44">
        <v>399</v>
      </c>
      <c r="M26" s="44">
        <v>352</v>
      </c>
      <c r="N26" s="44">
        <v>337</v>
      </c>
      <c r="O26" s="44">
        <v>378</v>
      </c>
      <c r="P26" s="44">
        <v>380</v>
      </c>
      <c r="Q26" s="44">
        <v>454</v>
      </c>
      <c r="R26" s="44">
        <v>273</v>
      </c>
      <c r="S26" s="44">
        <v>305</v>
      </c>
      <c r="T26" s="44">
        <v>419</v>
      </c>
      <c r="U26" s="44">
        <v>472</v>
      </c>
      <c r="V26" s="44">
        <v>514</v>
      </c>
      <c r="W26" s="44">
        <v>585</v>
      </c>
      <c r="X26" s="44">
        <v>536</v>
      </c>
      <c r="Y26" s="44">
        <v>627</v>
      </c>
      <c r="Z26" s="44">
        <v>585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AA25:AA26"/>
    <mergeCell ref="I29:L29"/>
    <mergeCell ref="B34:M34"/>
    <mergeCell ref="B35:G35"/>
    <mergeCell ref="H35:M35"/>
    <mergeCell ref="B36:G37"/>
    <mergeCell ref="H36:M37"/>
    <mergeCell ref="G22:G23"/>
    <mergeCell ref="AA22:AA23"/>
    <mergeCell ref="A24:AA24"/>
    <mergeCell ref="A25:A26"/>
    <mergeCell ref="B25:B26"/>
    <mergeCell ref="C25:C26"/>
    <mergeCell ref="D25:D26"/>
    <mergeCell ref="E25:E26"/>
    <mergeCell ref="F25:F26"/>
    <mergeCell ref="G25:G26"/>
    <mergeCell ref="A22:A23"/>
    <mergeCell ref="B22:B23"/>
    <mergeCell ref="C22:C23"/>
    <mergeCell ref="D22:D23"/>
    <mergeCell ref="E22:E23"/>
    <mergeCell ref="F22:F23"/>
    <mergeCell ref="A18:AA18"/>
    <mergeCell ref="A19:A20"/>
    <mergeCell ref="B19:B20"/>
    <mergeCell ref="C19:C20"/>
    <mergeCell ref="D19:D20"/>
    <mergeCell ref="E19:E20"/>
    <mergeCell ref="F19:F20"/>
    <mergeCell ref="G19:G20"/>
    <mergeCell ref="AA19:AA20"/>
    <mergeCell ref="A15:AA15"/>
    <mergeCell ref="A16:A17"/>
    <mergeCell ref="B16:B17"/>
    <mergeCell ref="C16:C17"/>
    <mergeCell ref="D16:D17"/>
    <mergeCell ref="E16:E17"/>
    <mergeCell ref="F16:F17"/>
    <mergeCell ref="G16:G17"/>
    <mergeCell ref="AA16:AA17"/>
    <mergeCell ref="A10:A11"/>
    <mergeCell ref="B10:B11"/>
    <mergeCell ref="C10:C11"/>
    <mergeCell ref="D10:D11"/>
    <mergeCell ref="E10:E11"/>
    <mergeCell ref="A12:AA12"/>
    <mergeCell ref="A13:A14"/>
    <mergeCell ref="B13:B14"/>
    <mergeCell ref="C13:C14"/>
    <mergeCell ref="D13:D14"/>
    <mergeCell ref="E13:E14"/>
    <mergeCell ref="F13:F14"/>
    <mergeCell ref="G13:G14"/>
    <mergeCell ref="AA13:AA14"/>
    <mergeCell ref="AA10:AA11"/>
    <mergeCell ref="F10:F11"/>
    <mergeCell ref="AA6:AA9"/>
    <mergeCell ref="B7:D7"/>
    <mergeCell ref="A1:AA1"/>
    <mergeCell ref="F2:G2"/>
    <mergeCell ref="W2:AA2"/>
    <mergeCell ref="A4:AA4"/>
    <mergeCell ref="A5:AA5"/>
    <mergeCell ref="E7:H7"/>
    <mergeCell ref="I7:Z7"/>
    <mergeCell ref="B8:Z8"/>
    <mergeCell ref="A6:A9"/>
    <mergeCell ref="B6:H6"/>
    <mergeCell ref="I6:Z6"/>
    <mergeCell ref="G10:G11"/>
  </mergeCells>
  <conditionalFormatting sqref="I21:Z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84" priority="15" operator="greaterThan">
      <formula>95%</formula>
    </cfRule>
    <cfRule type="cellIs" dxfId="83" priority="16" operator="greaterThanOrEqual">
      <formula>90%</formula>
    </cfRule>
    <cfRule type="cellIs" dxfId="82" priority="17" operator="lessThan">
      <formula>89.99%</formula>
    </cfRule>
  </conditionalFormatting>
  <conditionalFormatting sqref="AA13">
    <cfRule type="cellIs" dxfId="81" priority="12" operator="greaterThan">
      <formula>95%</formula>
    </cfRule>
    <cfRule type="cellIs" dxfId="80" priority="13" operator="greaterThanOrEqual">
      <formula>90%</formula>
    </cfRule>
    <cfRule type="cellIs" dxfId="79" priority="14" operator="lessThan">
      <formula>89.99%</formula>
    </cfRule>
  </conditionalFormatting>
  <conditionalFormatting sqref="AA16">
    <cfRule type="cellIs" dxfId="78" priority="9" operator="greaterThan">
      <formula>95%</formula>
    </cfRule>
    <cfRule type="cellIs" dxfId="77" priority="10" operator="greaterThanOrEqual">
      <formula>90%</formula>
    </cfRule>
    <cfRule type="cellIs" dxfId="76" priority="11" operator="lessThan">
      <formula>89.99%</formula>
    </cfRule>
  </conditionalFormatting>
  <conditionalFormatting sqref="AA19">
    <cfRule type="cellIs" dxfId="75" priority="6" operator="greaterThan">
      <formula>95%</formula>
    </cfRule>
    <cfRule type="cellIs" dxfId="74" priority="7" operator="greaterThanOrEqual">
      <formula>90%</formula>
    </cfRule>
    <cfRule type="cellIs" dxfId="73" priority="8" operator="lessThan">
      <formula>89.99%</formula>
    </cfRule>
  </conditionalFormatting>
  <conditionalFormatting sqref="AA22">
    <cfRule type="cellIs" dxfId="72" priority="1" operator="greaterThanOrEqual">
      <formula>100%</formula>
    </cfRule>
    <cfRule type="cellIs" dxfId="71" priority="2" operator="lessThan">
      <formula>99.99%</formula>
    </cfRule>
  </conditionalFormatting>
  <conditionalFormatting sqref="AA25">
    <cfRule type="cellIs" dxfId="70" priority="3" operator="greaterThan">
      <formula>95%</formula>
    </cfRule>
    <cfRule type="cellIs" dxfId="69" priority="4" operator="greaterThanOrEqual">
      <formula>90%</formula>
    </cfRule>
    <cfRule type="cellIs" dxfId="68" priority="5" operator="lessThan">
      <formula>89.99%</formula>
    </cfRule>
  </conditionalFormatting>
  <dataValidations disablePrompts="1" count="1">
    <dataValidation showDropDown="1" showInputMessage="1" showErrorMessage="1" sqref="C21 G19:G23 G10:G11 G16:G17 G13:G14 G25:G26" xr:uid="{A2A60E4C-2FE8-4E49-BCFD-2EE3DCB0EE9B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8DE6AF-BF7A-40A1-A1BF-49F8750ECBF6}">
  <sheetPr>
    <tabColor theme="5" tint="-0.249977111117893"/>
  </sheetPr>
  <dimension ref="A1:AM38"/>
  <sheetViews>
    <sheetView showGridLines="0" topLeftCell="C7" zoomScale="70" zoomScaleNormal="70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11</v>
      </c>
      <c r="F2" s="129" t="s">
        <v>25</v>
      </c>
      <c r="G2" s="129"/>
      <c r="H2" s="22">
        <v>161152</v>
      </c>
      <c r="I2" s="21"/>
      <c r="J2" s="21"/>
      <c r="K2" s="21"/>
      <c r="L2" s="21"/>
      <c r="M2" s="21"/>
      <c r="N2" s="21"/>
      <c r="O2" s="21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36</v>
      </c>
      <c r="J10" s="24">
        <v>165</v>
      </c>
      <c r="K10" s="24">
        <v>147</v>
      </c>
      <c r="L10" s="24">
        <v>176</v>
      </c>
      <c r="M10" s="24">
        <v>192</v>
      </c>
      <c r="N10" s="24">
        <v>209</v>
      </c>
      <c r="O10" s="24">
        <v>216</v>
      </c>
      <c r="P10" s="24">
        <v>226</v>
      </c>
      <c r="Q10" s="24">
        <v>155</v>
      </c>
      <c r="R10" s="24">
        <v>157</v>
      </c>
      <c r="S10" s="24">
        <v>277</v>
      </c>
      <c r="T10" s="24">
        <v>285</v>
      </c>
      <c r="U10" s="24">
        <v>223</v>
      </c>
      <c r="V10" s="24">
        <v>327</v>
      </c>
      <c r="W10" s="24">
        <v>375</v>
      </c>
      <c r="X10" s="24">
        <v>319</v>
      </c>
      <c r="Y10" s="24">
        <v>291</v>
      </c>
      <c r="Z10" s="24">
        <v>238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36</v>
      </c>
      <c r="J11" s="44">
        <v>165</v>
      </c>
      <c r="K11" s="44">
        <v>147</v>
      </c>
      <c r="L11" s="44">
        <v>176</v>
      </c>
      <c r="M11" s="44">
        <v>192</v>
      </c>
      <c r="N11" s="44">
        <v>209</v>
      </c>
      <c r="O11" s="44">
        <v>216</v>
      </c>
      <c r="P11" s="44">
        <v>226</v>
      </c>
      <c r="Q11" s="44">
        <v>155</v>
      </c>
      <c r="R11" s="44">
        <v>157</v>
      </c>
      <c r="S11" s="44">
        <v>277</v>
      </c>
      <c r="T11" s="44">
        <v>285</v>
      </c>
      <c r="U11" s="44">
        <v>223</v>
      </c>
      <c r="V11" s="44">
        <v>327</v>
      </c>
      <c r="W11" s="44">
        <v>375</v>
      </c>
      <c r="X11" s="44">
        <v>319</v>
      </c>
      <c r="Y11" s="44">
        <v>291</v>
      </c>
      <c r="Z11" s="44">
        <v>238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36</v>
      </c>
      <c r="J13" s="24">
        <v>165</v>
      </c>
      <c r="K13" s="24">
        <v>146</v>
      </c>
      <c r="L13" s="24">
        <v>174</v>
      </c>
      <c r="M13" s="24">
        <v>191</v>
      </c>
      <c r="N13" s="24">
        <v>207</v>
      </c>
      <c r="O13" s="24">
        <v>216</v>
      </c>
      <c r="P13" s="24">
        <v>224</v>
      </c>
      <c r="Q13" s="24">
        <v>155</v>
      </c>
      <c r="R13" s="24">
        <v>157</v>
      </c>
      <c r="S13" s="24">
        <v>275</v>
      </c>
      <c r="T13" s="24">
        <v>282</v>
      </c>
      <c r="U13" s="24">
        <v>223</v>
      </c>
      <c r="V13" s="24">
        <v>326</v>
      </c>
      <c r="W13" s="24">
        <v>374</v>
      </c>
      <c r="X13" s="24">
        <v>318</v>
      </c>
      <c r="Y13" s="24">
        <v>289</v>
      </c>
      <c r="Z13" s="24">
        <v>238</v>
      </c>
      <c r="AA13" s="119">
        <f>IFERROR(SUM(I13:Z13)/SUM(I14:Z14),0)</f>
        <v>0.99551569506726456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36</v>
      </c>
      <c r="J14" s="44">
        <v>165</v>
      </c>
      <c r="K14" s="44">
        <v>147</v>
      </c>
      <c r="L14" s="44">
        <v>176</v>
      </c>
      <c r="M14" s="44">
        <v>192</v>
      </c>
      <c r="N14" s="44">
        <v>209</v>
      </c>
      <c r="O14" s="44">
        <v>216</v>
      </c>
      <c r="P14" s="44">
        <v>226</v>
      </c>
      <c r="Q14" s="44">
        <v>156</v>
      </c>
      <c r="R14" s="44">
        <v>157</v>
      </c>
      <c r="S14" s="44">
        <v>277</v>
      </c>
      <c r="T14" s="44">
        <v>285</v>
      </c>
      <c r="U14" s="44">
        <v>223</v>
      </c>
      <c r="V14" s="44">
        <v>326</v>
      </c>
      <c r="W14" s="44">
        <v>375</v>
      </c>
      <c r="X14" s="44">
        <v>319</v>
      </c>
      <c r="Y14" s="44">
        <v>291</v>
      </c>
      <c r="Z14" s="44">
        <v>238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36</v>
      </c>
      <c r="J16" s="24">
        <v>165</v>
      </c>
      <c r="K16" s="24">
        <v>147</v>
      </c>
      <c r="L16" s="24">
        <v>175</v>
      </c>
      <c r="M16" s="24">
        <v>192</v>
      </c>
      <c r="N16" s="24">
        <v>209</v>
      </c>
      <c r="O16" s="24">
        <v>216</v>
      </c>
      <c r="P16" s="24">
        <v>226</v>
      </c>
      <c r="Q16" s="24">
        <v>155</v>
      </c>
      <c r="R16" s="24">
        <v>157</v>
      </c>
      <c r="S16" s="24">
        <v>277</v>
      </c>
      <c r="T16" s="24">
        <v>279</v>
      </c>
      <c r="U16" s="24">
        <v>223</v>
      </c>
      <c r="V16" s="24">
        <v>327</v>
      </c>
      <c r="W16" s="24">
        <v>375</v>
      </c>
      <c r="X16" s="24">
        <v>319</v>
      </c>
      <c r="Y16" s="24">
        <v>291</v>
      </c>
      <c r="Z16" s="24">
        <v>238</v>
      </c>
      <c r="AA16" s="119">
        <f>IFERROR(SUM(I16:Z16)/SUM(I17:Z17),0)</f>
        <v>0.99825610363726958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36</v>
      </c>
      <c r="J17" s="44">
        <v>165</v>
      </c>
      <c r="K17" s="44">
        <v>147</v>
      </c>
      <c r="L17" s="44">
        <v>176</v>
      </c>
      <c r="M17" s="44">
        <v>192</v>
      </c>
      <c r="N17" s="44">
        <v>209</v>
      </c>
      <c r="O17" s="44">
        <v>216</v>
      </c>
      <c r="P17" s="44">
        <v>226</v>
      </c>
      <c r="Q17" s="44">
        <v>155</v>
      </c>
      <c r="R17" s="44">
        <v>157</v>
      </c>
      <c r="S17" s="44">
        <v>277</v>
      </c>
      <c r="T17" s="44">
        <v>285</v>
      </c>
      <c r="U17" s="44">
        <v>223</v>
      </c>
      <c r="V17" s="44">
        <v>327</v>
      </c>
      <c r="W17" s="44">
        <v>375</v>
      </c>
      <c r="X17" s="44">
        <v>319</v>
      </c>
      <c r="Y17" s="44">
        <v>291</v>
      </c>
      <c r="Z17" s="44">
        <v>238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25</v>
      </c>
      <c r="J19" s="24">
        <v>163</v>
      </c>
      <c r="K19" s="24">
        <v>148</v>
      </c>
      <c r="L19" s="24">
        <v>184</v>
      </c>
      <c r="M19" s="24">
        <v>135</v>
      </c>
      <c r="N19" s="24">
        <v>247</v>
      </c>
      <c r="O19" s="24">
        <v>27</v>
      </c>
      <c r="P19" s="24">
        <v>362</v>
      </c>
      <c r="Q19" s="24">
        <v>124</v>
      </c>
      <c r="R19" s="24">
        <v>121</v>
      </c>
      <c r="S19" s="24">
        <v>151</v>
      </c>
      <c r="T19" s="24">
        <v>490</v>
      </c>
      <c r="U19" s="24">
        <v>219</v>
      </c>
      <c r="V19" s="24">
        <v>43</v>
      </c>
      <c r="W19" s="24">
        <v>609</v>
      </c>
      <c r="X19" s="24">
        <v>288</v>
      </c>
      <c r="Y19" s="24">
        <v>273</v>
      </c>
      <c r="Z19" s="24">
        <v>100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25</v>
      </c>
      <c r="J20" s="44">
        <v>163</v>
      </c>
      <c r="K20" s="44">
        <v>148</v>
      </c>
      <c r="L20" s="44">
        <v>184</v>
      </c>
      <c r="M20" s="44">
        <v>135</v>
      </c>
      <c r="N20" s="44">
        <v>247</v>
      </c>
      <c r="O20" s="44">
        <v>27</v>
      </c>
      <c r="P20" s="44">
        <v>362</v>
      </c>
      <c r="Q20" s="44">
        <v>124</v>
      </c>
      <c r="R20" s="44">
        <v>121</v>
      </c>
      <c r="S20" s="44">
        <v>151</v>
      </c>
      <c r="T20" s="44">
        <v>490</v>
      </c>
      <c r="U20" s="44">
        <v>219</v>
      </c>
      <c r="V20" s="44">
        <v>43</v>
      </c>
      <c r="W20" s="44">
        <v>609</v>
      </c>
      <c r="X20" s="44">
        <v>288</v>
      </c>
      <c r="Y20" s="44">
        <v>273</v>
      </c>
      <c r="Z20" s="44">
        <v>100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453</v>
      </c>
      <c r="J22" s="24">
        <v>467</v>
      </c>
      <c r="K22" s="24">
        <v>422</v>
      </c>
      <c r="L22" s="24">
        <v>429</v>
      </c>
      <c r="M22" s="24">
        <v>409</v>
      </c>
      <c r="N22" s="24">
        <v>476</v>
      </c>
      <c r="O22" s="24">
        <v>297</v>
      </c>
      <c r="P22" s="24">
        <v>426</v>
      </c>
      <c r="Q22" s="24">
        <v>373</v>
      </c>
      <c r="R22" s="24">
        <v>324</v>
      </c>
      <c r="S22" s="24">
        <v>276</v>
      </c>
      <c r="T22" s="24">
        <v>566</v>
      </c>
      <c r="U22" s="24">
        <v>532</v>
      </c>
      <c r="V22" s="24">
        <v>323</v>
      </c>
      <c r="W22" s="24">
        <v>619</v>
      </c>
      <c r="X22" s="24">
        <v>588</v>
      </c>
      <c r="Y22" s="24">
        <v>498</v>
      </c>
      <c r="Z22" s="24">
        <v>331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453</v>
      </c>
      <c r="J23" s="44">
        <v>467</v>
      </c>
      <c r="K23" s="44">
        <v>422</v>
      </c>
      <c r="L23" s="44">
        <v>429</v>
      </c>
      <c r="M23" s="44">
        <v>409</v>
      </c>
      <c r="N23" s="44">
        <v>476</v>
      </c>
      <c r="O23" s="44">
        <v>297</v>
      </c>
      <c r="P23" s="44">
        <v>426</v>
      </c>
      <c r="Q23" s="44">
        <v>373</v>
      </c>
      <c r="R23" s="44">
        <v>324</v>
      </c>
      <c r="S23" s="44">
        <v>276</v>
      </c>
      <c r="T23" s="44">
        <v>566</v>
      </c>
      <c r="U23" s="44">
        <v>532</v>
      </c>
      <c r="V23" s="44">
        <v>323</v>
      </c>
      <c r="W23" s="44">
        <v>619</v>
      </c>
      <c r="X23" s="44">
        <v>588</v>
      </c>
      <c r="Y23" s="44">
        <v>498</v>
      </c>
      <c r="Z23" s="44">
        <v>331</v>
      </c>
      <c r="AA23" s="119"/>
    </row>
    <row r="24" spans="1:39" s="4" customFormat="1" ht="9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43</v>
      </c>
      <c r="J25" s="24">
        <v>149</v>
      </c>
      <c r="K25" s="24">
        <v>186</v>
      </c>
      <c r="L25" s="24">
        <v>177</v>
      </c>
      <c r="M25" s="24">
        <v>155</v>
      </c>
      <c r="N25" s="24">
        <v>178</v>
      </c>
      <c r="O25" s="24">
        <v>206</v>
      </c>
      <c r="P25" s="24">
        <v>233</v>
      </c>
      <c r="Q25" s="24">
        <v>177</v>
      </c>
      <c r="R25" s="24">
        <v>170</v>
      </c>
      <c r="S25" s="24">
        <v>199</v>
      </c>
      <c r="T25" s="24">
        <v>200</v>
      </c>
      <c r="U25" s="24">
        <v>253</v>
      </c>
      <c r="V25" s="24">
        <v>252</v>
      </c>
      <c r="W25" s="24">
        <v>311</v>
      </c>
      <c r="X25" s="24">
        <v>318</v>
      </c>
      <c r="Y25" s="24">
        <v>363</v>
      </c>
      <c r="Z25" s="24">
        <v>265</v>
      </c>
      <c r="AA25" s="119">
        <f>IFERROR(SUM(I25:Z25)/SUM(I26:Z26),0)</f>
        <v>0.99921834288692024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43</v>
      </c>
      <c r="J26" s="44">
        <v>149</v>
      </c>
      <c r="K26" s="44">
        <v>186</v>
      </c>
      <c r="L26" s="44">
        <v>177</v>
      </c>
      <c r="M26" s="44">
        <v>155</v>
      </c>
      <c r="N26" s="44">
        <v>178</v>
      </c>
      <c r="O26" s="44">
        <v>206</v>
      </c>
      <c r="P26" s="44">
        <v>233</v>
      </c>
      <c r="Q26" s="44">
        <v>177</v>
      </c>
      <c r="R26" s="44">
        <v>170</v>
      </c>
      <c r="S26" s="44">
        <v>199</v>
      </c>
      <c r="T26" s="44">
        <v>200</v>
      </c>
      <c r="U26" s="44">
        <v>253</v>
      </c>
      <c r="V26" s="44">
        <v>252</v>
      </c>
      <c r="W26" s="44">
        <v>311</v>
      </c>
      <c r="X26" s="44">
        <v>319</v>
      </c>
      <c r="Y26" s="44">
        <v>363</v>
      </c>
      <c r="Z26" s="44">
        <v>267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AA25:AA26"/>
    <mergeCell ref="I29:L29"/>
    <mergeCell ref="B34:M34"/>
    <mergeCell ref="B35:G35"/>
    <mergeCell ref="H35:M35"/>
    <mergeCell ref="B36:G37"/>
    <mergeCell ref="H36:M37"/>
    <mergeCell ref="G22:G23"/>
    <mergeCell ref="AA22:AA23"/>
    <mergeCell ref="A24:AA24"/>
    <mergeCell ref="A25:A26"/>
    <mergeCell ref="B25:B26"/>
    <mergeCell ref="C25:C26"/>
    <mergeCell ref="D25:D26"/>
    <mergeCell ref="E25:E26"/>
    <mergeCell ref="F25:F26"/>
    <mergeCell ref="G25:G26"/>
    <mergeCell ref="A22:A23"/>
    <mergeCell ref="B22:B23"/>
    <mergeCell ref="C22:C23"/>
    <mergeCell ref="D22:D23"/>
    <mergeCell ref="E22:E23"/>
    <mergeCell ref="F22:F23"/>
    <mergeCell ref="A18:AA18"/>
    <mergeCell ref="A19:A20"/>
    <mergeCell ref="B19:B20"/>
    <mergeCell ref="C19:C20"/>
    <mergeCell ref="D19:D20"/>
    <mergeCell ref="E19:E20"/>
    <mergeCell ref="F19:F20"/>
    <mergeCell ref="G19:G20"/>
    <mergeCell ref="AA19:AA20"/>
    <mergeCell ref="A15:AA15"/>
    <mergeCell ref="A16:A17"/>
    <mergeCell ref="B16:B17"/>
    <mergeCell ref="C16:C17"/>
    <mergeCell ref="D16:D17"/>
    <mergeCell ref="E16:E17"/>
    <mergeCell ref="F16:F17"/>
    <mergeCell ref="G16:G17"/>
    <mergeCell ref="AA16:AA17"/>
    <mergeCell ref="A10:A11"/>
    <mergeCell ref="B10:B11"/>
    <mergeCell ref="C10:C11"/>
    <mergeCell ref="D10:D11"/>
    <mergeCell ref="E10:E11"/>
    <mergeCell ref="A12:AA12"/>
    <mergeCell ref="A13:A14"/>
    <mergeCell ref="B13:B14"/>
    <mergeCell ref="C13:C14"/>
    <mergeCell ref="D13:D14"/>
    <mergeCell ref="E13:E14"/>
    <mergeCell ref="F13:F14"/>
    <mergeCell ref="G13:G14"/>
    <mergeCell ref="AA13:AA14"/>
    <mergeCell ref="AA10:AA11"/>
    <mergeCell ref="F10:F11"/>
    <mergeCell ref="AA6:AA9"/>
    <mergeCell ref="B7:D7"/>
    <mergeCell ref="A1:AA1"/>
    <mergeCell ref="F2:G2"/>
    <mergeCell ref="W2:AA2"/>
    <mergeCell ref="A4:AA4"/>
    <mergeCell ref="A5:AA5"/>
    <mergeCell ref="E7:H7"/>
    <mergeCell ref="I7:Z7"/>
    <mergeCell ref="B8:Z8"/>
    <mergeCell ref="A6:A9"/>
    <mergeCell ref="B6:H6"/>
    <mergeCell ref="I6:Z6"/>
    <mergeCell ref="G10:G11"/>
  </mergeCells>
  <conditionalFormatting sqref="I21:Z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67" priority="15" operator="greaterThan">
      <formula>95%</formula>
    </cfRule>
    <cfRule type="cellIs" dxfId="66" priority="16" operator="greaterThanOrEqual">
      <formula>90%</formula>
    </cfRule>
    <cfRule type="cellIs" dxfId="65" priority="17" operator="lessThan">
      <formula>89.99%</formula>
    </cfRule>
  </conditionalFormatting>
  <conditionalFormatting sqref="AA13">
    <cfRule type="cellIs" dxfId="64" priority="12" operator="greaterThan">
      <formula>95%</formula>
    </cfRule>
    <cfRule type="cellIs" dxfId="63" priority="13" operator="greaterThanOrEqual">
      <formula>90%</formula>
    </cfRule>
    <cfRule type="cellIs" dxfId="62" priority="14" operator="lessThan">
      <formula>89.99%</formula>
    </cfRule>
  </conditionalFormatting>
  <conditionalFormatting sqref="AA16">
    <cfRule type="cellIs" dxfId="61" priority="9" operator="greaterThan">
      <formula>95%</formula>
    </cfRule>
    <cfRule type="cellIs" dxfId="60" priority="10" operator="greaterThanOrEqual">
      <formula>90%</formula>
    </cfRule>
    <cfRule type="cellIs" dxfId="59" priority="11" operator="lessThan">
      <formula>89.99%</formula>
    </cfRule>
  </conditionalFormatting>
  <conditionalFormatting sqref="AA19">
    <cfRule type="cellIs" dxfId="58" priority="6" operator="greaterThan">
      <formula>95%</formula>
    </cfRule>
    <cfRule type="cellIs" dxfId="57" priority="7" operator="greaterThanOrEqual">
      <formula>90%</formula>
    </cfRule>
    <cfRule type="cellIs" dxfId="56" priority="8" operator="lessThan">
      <formula>89.99%</formula>
    </cfRule>
  </conditionalFormatting>
  <conditionalFormatting sqref="AA22">
    <cfRule type="cellIs" dxfId="55" priority="1" operator="greaterThanOrEqual">
      <formula>100%</formula>
    </cfRule>
    <cfRule type="cellIs" dxfId="54" priority="2" operator="lessThan">
      <formula>99.99%</formula>
    </cfRule>
  </conditionalFormatting>
  <conditionalFormatting sqref="AA25">
    <cfRule type="cellIs" dxfId="53" priority="3" operator="greaterThan">
      <formula>95%</formula>
    </cfRule>
    <cfRule type="cellIs" dxfId="52" priority="4" operator="greaterThanOrEqual">
      <formula>90%</formula>
    </cfRule>
    <cfRule type="cellIs" dxfId="51" priority="5" operator="lessThan">
      <formula>89.99%</formula>
    </cfRule>
  </conditionalFormatting>
  <dataValidations count="1">
    <dataValidation showDropDown="1" showInputMessage="1" showErrorMessage="1" sqref="C21 G19:G23 G10:G11 G16:G17 G13:G14 G25:G26" xr:uid="{23BCF3DD-448B-496B-A534-509EF8CF9069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997EB-6D02-40D0-92BA-A5B32111E7F5}">
  <sheetPr>
    <tabColor theme="5" tint="-0.249977111117893"/>
  </sheetPr>
  <dimension ref="A1:AM38"/>
  <sheetViews>
    <sheetView showGridLines="0" topLeftCell="A4" zoomScale="70" zoomScaleNormal="70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11</v>
      </c>
      <c r="F2" s="129" t="s">
        <v>25</v>
      </c>
      <c r="G2" s="129"/>
      <c r="H2" s="22">
        <v>161153</v>
      </c>
      <c r="I2" s="21"/>
      <c r="J2" s="21"/>
      <c r="K2" s="21"/>
      <c r="L2" s="21"/>
      <c r="M2" s="21"/>
      <c r="N2" s="21"/>
      <c r="O2" s="21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36</v>
      </c>
      <c r="J10" s="24">
        <v>165</v>
      </c>
      <c r="K10" s="24">
        <v>147</v>
      </c>
      <c r="L10" s="24">
        <v>176</v>
      </c>
      <c r="M10" s="24">
        <v>192</v>
      </c>
      <c r="N10" s="24">
        <v>143</v>
      </c>
      <c r="O10" s="24">
        <v>157</v>
      </c>
      <c r="P10" s="24">
        <v>150</v>
      </c>
      <c r="Q10" s="24">
        <v>150</v>
      </c>
      <c r="R10" s="24">
        <v>97</v>
      </c>
      <c r="S10" s="24">
        <v>169</v>
      </c>
      <c r="T10" s="24">
        <v>229</v>
      </c>
      <c r="U10" s="24">
        <v>99</v>
      </c>
      <c r="V10" s="24">
        <v>200</v>
      </c>
      <c r="W10" s="24">
        <v>251</v>
      </c>
      <c r="X10" s="24">
        <v>92</v>
      </c>
      <c r="Y10" s="24">
        <v>195</v>
      </c>
      <c r="Z10" s="24">
        <v>86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36</v>
      </c>
      <c r="J11" s="44">
        <v>165</v>
      </c>
      <c r="K11" s="44">
        <v>147</v>
      </c>
      <c r="L11" s="44">
        <v>176</v>
      </c>
      <c r="M11" s="44">
        <v>192</v>
      </c>
      <c r="N11" s="44">
        <v>143</v>
      </c>
      <c r="O11" s="44">
        <v>157</v>
      </c>
      <c r="P11" s="44">
        <v>150</v>
      </c>
      <c r="Q11" s="44">
        <v>150</v>
      </c>
      <c r="R11" s="44">
        <v>97</v>
      </c>
      <c r="S11" s="44">
        <v>169</v>
      </c>
      <c r="T11" s="44">
        <v>229</v>
      </c>
      <c r="U11" s="44">
        <v>99</v>
      </c>
      <c r="V11" s="44">
        <v>200</v>
      </c>
      <c r="W11" s="44">
        <v>251</v>
      </c>
      <c r="X11" s="44">
        <v>92</v>
      </c>
      <c r="Y11" s="44">
        <v>195</v>
      </c>
      <c r="Z11" s="44">
        <v>86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16</v>
      </c>
      <c r="J13" s="24">
        <v>151</v>
      </c>
      <c r="K13" s="24">
        <v>59</v>
      </c>
      <c r="L13" s="24">
        <v>82</v>
      </c>
      <c r="M13" s="24">
        <v>130</v>
      </c>
      <c r="N13" s="24">
        <v>142</v>
      </c>
      <c r="O13" s="24">
        <v>157</v>
      </c>
      <c r="P13" s="24">
        <v>149</v>
      </c>
      <c r="Q13" s="24">
        <v>149</v>
      </c>
      <c r="R13" s="24">
        <v>96</v>
      </c>
      <c r="S13" s="24">
        <v>169</v>
      </c>
      <c r="T13" s="24">
        <v>228</v>
      </c>
      <c r="U13" s="24">
        <v>99</v>
      </c>
      <c r="V13" s="24">
        <v>197</v>
      </c>
      <c r="W13" s="24">
        <v>196</v>
      </c>
      <c r="X13" s="24">
        <v>185</v>
      </c>
      <c r="Y13" s="24">
        <v>0</v>
      </c>
      <c r="Z13" s="24">
        <v>193</v>
      </c>
      <c r="AA13" s="119">
        <f>IFERROR(SUM(I13:Z13)/SUM(I14:Z14),0)</f>
        <v>0.97598697598697604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16</v>
      </c>
      <c r="J14" s="44">
        <v>151</v>
      </c>
      <c r="K14" s="44">
        <v>59</v>
      </c>
      <c r="L14" s="44">
        <v>82</v>
      </c>
      <c r="M14" s="44">
        <v>131</v>
      </c>
      <c r="N14" s="44">
        <v>143</v>
      </c>
      <c r="O14" s="44">
        <v>157</v>
      </c>
      <c r="P14" s="44">
        <v>150</v>
      </c>
      <c r="Q14" s="44">
        <v>150</v>
      </c>
      <c r="R14" s="44">
        <v>97</v>
      </c>
      <c r="S14" s="44">
        <v>169</v>
      </c>
      <c r="T14" s="44">
        <v>229</v>
      </c>
      <c r="U14" s="44">
        <v>99</v>
      </c>
      <c r="V14" s="44">
        <v>200</v>
      </c>
      <c r="W14" s="44">
        <v>251</v>
      </c>
      <c r="X14" s="44">
        <v>92</v>
      </c>
      <c r="Y14" s="44">
        <v>195</v>
      </c>
      <c r="Z14" s="44">
        <v>86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16</v>
      </c>
      <c r="J16" s="24">
        <v>150</v>
      </c>
      <c r="K16" s="24">
        <v>58</v>
      </c>
      <c r="L16" s="24">
        <v>80</v>
      </c>
      <c r="M16" s="24">
        <v>130</v>
      </c>
      <c r="N16" s="24">
        <v>146</v>
      </c>
      <c r="O16" s="24">
        <v>156</v>
      </c>
      <c r="P16" s="24">
        <v>139</v>
      </c>
      <c r="Q16" s="24">
        <v>150</v>
      </c>
      <c r="R16" s="24">
        <v>71</v>
      </c>
      <c r="S16" s="24">
        <v>169</v>
      </c>
      <c r="T16" s="24">
        <v>197</v>
      </c>
      <c r="U16" s="24">
        <v>96</v>
      </c>
      <c r="V16" s="24">
        <v>200</v>
      </c>
      <c r="W16" s="24">
        <v>196</v>
      </c>
      <c r="X16" s="24">
        <v>92</v>
      </c>
      <c r="Y16" s="24">
        <v>195</v>
      </c>
      <c r="Z16" s="24">
        <v>86</v>
      </c>
      <c r="AA16" s="119">
        <f>IFERROR(SUM(I16:Z16)/SUM(I17:Z17),0)</f>
        <v>0.94593495934959348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16</v>
      </c>
      <c r="J17" s="44">
        <v>151</v>
      </c>
      <c r="K17" s="44">
        <v>59</v>
      </c>
      <c r="L17" s="44">
        <v>82</v>
      </c>
      <c r="M17" s="44">
        <v>131</v>
      </c>
      <c r="N17" s="44">
        <v>146</v>
      </c>
      <c r="O17" s="44">
        <v>157</v>
      </c>
      <c r="P17" s="44">
        <v>150</v>
      </c>
      <c r="Q17" s="44">
        <v>150</v>
      </c>
      <c r="R17" s="44">
        <v>97</v>
      </c>
      <c r="S17" s="44">
        <v>169</v>
      </c>
      <c r="T17" s="44">
        <v>229</v>
      </c>
      <c r="U17" s="44">
        <v>99</v>
      </c>
      <c r="V17" s="44">
        <v>200</v>
      </c>
      <c r="W17" s="44">
        <v>251</v>
      </c>
      <c r="X17" s="44">
        <v>92</v>
      </c>
      <c r="Y17" s="44">
        <v>195</v>
      </c>
      <c r="Z17" s="44">
        <v>86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0</v>
      </c>
      <c r="J19" s="24">
        <v>198</v>
      </c>
      <c r="K19" s="24">
        <v>55</v>
      </c>
      <c r="L19" s="24">
        <v>59</v>
      </c>
      <c r="M19" s="24">
        <v>79</v>
      </c>
      <c r="N19" s="24">
        <v>142</v>
      </c>
      <c r="O19" s="24">
        <v>99</v>
      </c>
      <c r="P19" s="24">
        <v>191</v>
      </c>
      <c r="Q19" s="24">
        <v>173</v>
      </c>
      <c r="R19" s="24">
        <v>125</v>
      </c>
      <c r="S19" s="24">
        <v>110</v>
      </c>
      <c r="T19" s="24">
        <v>156</v>
      </c>
      <c r="U19" s="24">
        <v>196</v>
      </c>
      <c r="V19" s="24">
        <v>104</v>
      </c>
      <c r="W19" s="24">
        <v>225</v>
      </c>
      <c r="X19" s="24">
        <v>143</v>
      </c>
      <c r="Y19" s="24">
        <v>195</v>
      </c>
      <c r="Z19" s="24">
        <v>161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0</v>
      </c>
      <c r="J20" s="44">
        <v>198</v>
      </c>
      <c r="K20" s="44">
        <v>55</v>
      </c>
      <c r="L20" s="44">
        <v>59</v>
      </c>
      <c r="M20" s="44">
        <v>79</v>
      </c>
      <c r="N20" s="44">
        <v>142</v>
      </c>
      <c r="O20" s="44">
        <v>99</v>
      </c>
      <c r="P20" s="44">
        <v>191</v>
      </c>
      <c r="Q20" s="44">
        <v>173</v>
      </c>
      <c r="R20" s="44">
        <v>125</v>
      </c>
      <c r="S20" s="44">
        <v>110</v>
      </c>
      <c r="T20" s="44">
        <v>156</v>
      </c>
      <c r="U20" s="44">
        <v>196</v>
      </c>
      <c r="V20" s="44">
        <v>104</v>
      </c>
      <c r="W20" s="44">
        <v>225</v>
      </c>
      <c r="X20" s="44">
        <v>143</v>
      </c>
      <c r="Y20" s="44">
        <v>195</v>
      </c>
      <c r="Z20" s="44">
        <v>161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398</v>
      </c>
      <c r="J22" s="24">
        <v>423</v>
      </c>
      <c r="K22" s="24">
        <v>342</v>
      </c>
      <c r="L22" s="24">
        <v>227</v>
      </c>
      <c r="M22" s="24">
        <v>234</v>
      </c>
      <c r="N22" s="24">
        <v>288</v>
      </c>
      <c r="O22" s="24">
        <v>286</v>
      </c>
      <c r="P22" s="24">
        <v>361</v>
      </c>
      <c r="Q22" s="24">
        <v>347</v>
      </c>
      <c r="R22" s="24">
        <v>346</v>
      </c>
      <c r="S22" s="24">
        <v>292</v>
      </c>
      <c r="T22" s="24">
        <v>319</v>
      </c>
      <c r="U22" s="24">
        <v>433</v>
      </c>
      <c r="V22" s="24">
        <v>308</v>
      </c>
      <c r="W22" s="24">
        <v>361</v>
      </c>
      <c r="X22" s="24">
        <v>557</v>
      </c>
      <c r="Y22" s="24">
        <v>332</v>
      </c>
      <c r="Z22" s="24">
        <v>365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398</v>
      </c>
      <c r="J23" s="44">
        <v>423</v>
      </c>
      <c r="K23" s="44">
        <v>342</v>
      </c>
      <c r="L23" s="44">
        <v>227</v>
      </c>
      <c r="M23" s="44">
        <v>234</v>
      </c>
      <c r="N23" s="44">
        <v>288</v>
      </c>
      <c r="O23" s="44">
        <v>286</v>
      </c>
      <c r="P23" s="44">
        <v>361</v>
      </c>
      <c r="Q23" s="44">
        <v>347</v>
      </c>
      <c r="R23" s="44">
        <v>346</v>
      </c>
      <c r="S23" s="44">
        <v>292</v>
      </c>
      <c r="T23" s="44">
        <v>319</v>
      </c>
      <c r="U23" s="44">
        <v>433</v>
      </c>
      <c r="V23" s="44">
        <v>308</v>
      </c>
      <c r="W23" s="44">
        <v>361</v>
      </c>
      <c r="X23" s="44">
        <v>557</v>
      </c>
      <c r="Y23" s="44">
        <v>332</v>
      </c>
      <c r="Z23" s="44">
        <v>365</v>
      </c>
      <c r="AA23" s="119"/>
    </row>
    <row r="24" spans="1:39" s="4" customFormat="1" ht="9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42</v>
      </c>
      <c r="J25" s="24">
        <v>173</v>
      </c>
      <c r="K25" s="24">
        <v>134</v>
      </c>
      <c r="L25" s="24">
        <v>174</v>
      </c>
      <c r="M25" s="24">
        <v>72</v>
      </c>
      <c r="N25" s="24">
        <v>88</v>
      </c>
      <c r="O25" s="24">
        <v>101</v>
      </c>
      <c r="P25" s="24">
        <v>116</v>
      </c>
      <c r="Q25" s="24">
        <v>187</v>
      </c>
      <c r="R25" s="24">
        <v>229</v>
      </c>
      <c r="S25" s="24">
        <v>82</v>
      </c>
      <c r="T25" s="24">
        <v>129</v>
      </c>
      <c r="U25" s="24">
        <v>162</v>
      </c>
      <c r="V25" s="24">
        <v>125</v>
      </c>
      <c r="W25" s="24">
        <v>169</v>
      </c>
      <c r="X25" s="24">
        <v>129</v>
      </c>
      <c r="Y25" s="24">
        <v>257</v>
      </c>
      <c r="Z25" s="24">
        <v>128</v>
      </c>
      <c r="AA25" s="119">
        <f>IFERROR(SUM(I25:Z25)/SUM(I26:Z26),0)</f>
        <v>1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42</v>
      </c>
      <c r="J26" s="44">
        <v>173</v>
      </c>
      <c r="K26" s="44">
        <v>134</v>
      </c>
      <c r="L26" s="44">
        <v>174</v>
      </c>
      <c r="M26" s="44">
        <v>72</v>
      </c>
      <c r="N26" s="44">
        <v>88</v>
      </c>
      <c r="O26" s="44">
        <v>101</v>
      </c>
      <c r="P26" s="44">
        <v>116</v>
      </c>
      <c r="Q26" s="44">
        <v>187</v>
      </c>
      <c r="R26" s="44">
        <v>229</v>
      </c>
      <c r="S26" s="44">
        <v>82</v>
      </c>
      <c r="T26" s="44">
        <v>129</v>
      </c>
      <c r="U26" s="44">
        <v>162</v>
      </c>
      <c r="V26" s="44">
        <v>125</v>
      </c>
      <c r="W26" s="44">
        <v>169</v>
      </c>
      <c r="X26" s="44">
        <v>129</v>
      </c>
      <c r="Y26" s="44">
        <v>257</v>
      </c>
      <c r="Z26" s="44">
        <v>128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AA25:AA26"/>
    <mergeCell ref="I29:L29"/>
    <mergeCell ref="B34:M34"/>
    <mergeCell ref="B35:G35"/>
    <mergeCell ref="H35:M35"/>
    <mergeCell ref="B36:G37"/>
    <mergeCell ref="H36:M37"/>
    <mergeCell ref="G22:G23"/>
    <mergeCell ref="AA22:AA23"/>
    <mergeCell ref="A24:AA24"/>
    <mergeCell ref="A25:A26"/>
    <mergeCell ref="B25:B26"/>
    <mergeCell ref="C25:C26"/>
    <mergeCell ref="D25:D26"/>
    <mergeCell ref="E25:E26"/>
    <mergeCell ref="F25:F26"/>
    <mergeCell ref="G25:G26"/>
    <mergeCell ref="A22:A23"/>
    <mergeCell ref="B22:B23"/>
    <mergeCell ref="C22:C23"/>
    <mergeCell ref="D22:D23"/>
    <mergeCell ref="E22:E23"/>
    <mergeCell ref="F22:F23"/>
    <mergeCell ref="A18:AA18"/>
    <mergeCell ref="A19:A20"/>
    <mergeCell ref="B19:B20"/>
    <mergeCell ref="C19:C20"/>
    <mergeCell ref="D19:D20"/>
    <mergeCell ref="E19:E20"/>
    <mergeCell ref="F19:F20"/>
    <mergeCell ref="G19:G20"/>
    <mergeCell ref="AA19:AA20"/>
    <mergeCell ref="A15:AA15"/>
    <mergeCell ref="A16:A17"/>
    <mergeCell ref="B16:B17"/>
    <mergeCell ref="C16:C17"/>
    <mergeCell ref="D16:D17"/>
    <mergeCell ref="E16:E17"/>
    <mergeCell ref="F16:F17"/>
    <mergeCell ref="G16:G17"/>
    <mergeCell ref="AA16:AA17"/>
    <mergeCell ref="A10:A11"/>
    <mergeCell ref="B10:B11"/>
    <mergeCell ref="C10:C11"/>
    <mergeCell ref="D10:D11"/>
    <mergeCell ref="E10:E11"/>
    <mergeCell ref="A12:AA12"/>
    <mergeCell ref="A13:A14"/>
    <mergeCell ref="B13:B14"/>
    <mergeCell ref="C13:C14"/>
    <mergeCell ref="D13:D14"/>
    <mergeCell ref="E13:E14"/>
    <mergeCell ref="F13:F14"/>
    <mergeCell ref="G13:G14"/>
    <mergeCell ref="AA13:AA14"/>
    <mergeCell ref="AA10:AA11"/>
    <mergeCell ref="F10:F11"/>
    <mergeCell ref="AA6:AA9"/>
    <mergeCell ref="B7:D7"/>
    <mergeCell ref="A1:AA1"/>
    <mergeCell ref="F2:G2"/>
    <mergeCell ref="W2:AA2"/>
    <mergeCell ref="A4:AA4"/>
    <mergeCell ref="A5:AA5"/>
    <mergeCell ref="E7:H7"/>
    <mergeCell ref="I7:Z7"/>
    <mergeCell ref="B8:Z8"/>
    <mergeCell ref="A6:A9"/>
    <mergeCell ref="B6:H6"/>
    <mergeCell ref="I6:Z6"/>
    <mergeCell ref="G10:G11"/>
  </mergeCells>
  <conditionalFormatting sqref="I21:Z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50" priority="15" operator="greaterThan">
      <formula>95%</formula>
    </cfRule>
    <cfRule type="cellIs" dxfId="49" priority="16" operator="greaterThanOrEqual">
      <formula>90%</formula>
    </cfRule>
    <cfRule type="cellIs" dxfId="48" priority="17" operator="lessThan">
      <formula>89.99%</formula>
    </cfRule>
  </conditionalFormatting>
  <conditionalFormatting sqref="AA13">
    <cfRule type="cellIs" dxfId="47" priority="12" operator="greaterThan">
      <formula>95%</formula>
    </cfRule>
    <cfRule type="cellIs" dxfId="46" priority="13" operator="greaterThanOrEqual">
      <formula>90%</formula>
    </cfRule>
    <cfRule type="cellIs" dxfId="45" priority="14" operator="lessThan">
      <formula>89.99%</formula>
    </cfRule>
  </conditionalFormatting>
  <conditionalFormatting sqref="AA16">
    <cfRule type="cellIs" dxfId="44" priority="9" operator="greaterThan">
      <formula>95%</formula>
    </cfRule>
    <cfRule type="cellIs" dxfId="43" priority="10" operator="greaterThanOrEqual">
      <formula>90%</formula>
    </cfRule>
    <cfRule type="cellIs" dxfId="42" priority="11" operator="lessThan">
      <formula>89.99%</formula>
    </cfRule>
  </conditionalFormatting>
  <conditionalFormatting sqref="AA19">
    <cfRule type="cellIs" dxfId="41" priority="6" operator="greaterThan">
      <formula>95%</formula>
    </cfRule>
    <cfRule type="cellIs" dxfId="40" priority="7" operator="greaterThanOrEqual">
      <formula>90%</formula>
    </cfRule>
    <cfRule type="cellIs" dxfId="39" priority="8" operator="lessThan">
      <formula>89.99%</formula>
    </cfRule>
  </conditionalFormatting>
  <conditionalFormatting sqref="AA22">
    <cfRule type="cellIs" dxfId="38" priority="1" operator="greaterThanOrEqual">
      <formula>100%</formula>
    </cfRule>
    <cfRule type="cellIs" dxfId="37" priority="2" operator="lessThan">
      <formula>99.99%</formula>
    </cfRule>
  </conditionalFormatting>
  <conditionalFormatting sqref="AA25">
    <cfRule type="cellIs" dxfId="36" priority="3" operator="greaterThan">
      <formula>95%</formula>
    </cfRule>
    <cfRule type="cellIs" dxfId="35" priority="4" operator="greaterThanOrEqual">
      <formula>90%</formula>
    </cfRule>
    <cfRule type="cellIs" dxfId="34" priority="5" operator="lessThan">
      <formula>89.99%</formula>
    </cfRule>
  </conditionalFormatting>
  <dataValidations count="1">
    <dataValidation showDropDown="1" showInputMessage="1" showErrorMessage="1" sqref="C21 G19:G23 G10:G11 G16:G17 G13:G14 G25:G26" xr:uid="{467489B4-9F85-4A71-A555-9A30B10BA72D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8CDA0-DE4E-6747-88C2-51B2DED468AE}">
  <sheetPr>
    <tabColor theme="5" tint="-0.249977111117893"/>
  </sheetPr>
  <dimension ref="A1:AM38"/>
  <sheetViews>
    <sheetView showGridLines="0" topLeftCell="C4" zoomScale="62" zoomScaleNormal="62" workbookViewId="0">
      <selection activeCell="E2" sqref="E2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11</v>
      </c>
      <c r="F2" s="129" t="s">
        <v>25</v>
      </c>
      <c r="G2" s="129"/>
      <c r="H2" s="22">
        <v>161155</v>
      </c>
      <c r="I2" s="21"/>
      <c r="J2" s="21"/>
      <c r="K2" s="21"/>
      <c r="L2" s="21"/>
      <c r="M2" s="21"/>
      <c r="N2" s="21"/>
      <c r="O2" s="21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91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9</v>
      </c>
      <c r="J10" s="24">
        <v>112</v>
      </c>
      <c r="K10" s="24">
        <v>0</v>
      </c>
      <c r="L10" s="24">
        <v>176</v>
      </c>
      <c r="M10" s="24">
        <v>63</v>
      </c>
      <c r="N10" s="24">
        <v>69</v>
      </c>
      <c r="O10" s="24">
        <v>124</v>
      </c>
      <c r="P10" s="24">
        <v>94</v>
      </c>
      <c r="Q10" s="24">
        <v>70</v>
      </c>
      <c r="R10" s="24">
        <v>87</v>
      </c>
      <c r="S10" s="24">
        <v>153</v>
      </c>
      <c r="T10" s="24">
        <v>103</v>
      </c>
      <c r="U10" s="24">
        <v>125</v>
      </c>
      <c r="V10" s="24">
        <v>269</v>
      </c>
      <c r="W10" s="24">
        <v>145</v>
      </c>
      <c r="X10" s="24">
        <v>186</v>
      </c>
      <c r="Y10" s="24">
        <v>152</v>
      </c>
      <c r="Z10" s="24">
        <v>123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9</v>
      </c>
      <c r="J11" s="44">
        <v>112</v>
      </c>
      <c r="K11" s="44">
        <v>0</v>
      </c>
      <c r="L11" s="44">
        <v>176</v>
      </c>
      <c r="M11" s="44">
        <v>63</v>
      </c>
      <c r="N11" s="44">
        <v>69</v>
      </c>
      <c r="O11" s="44">
        <v>124</v>
      </c>
      <c r="P11" s="44">
        <v>94</v>
      </c>
      <c r="Q11" s="44">
        <v>70</v>
      </c>
      <c r="R11" s="44">
        <v>87</v>
      </c>
      <c r="S11" s="44">
        <v>153</v>
      </c>
      <c r="T11" s="44">
        <v>103</v>
      </c>
      <c r="U11" s="44">
        <v>125</v>
      </c>
      <c r="V11" s="44">
        <v>269</v>
      </c>
      <c r="W11" s="44">
        <v>145</v>
      </c>
      <c r="X11" s="44">
        <v>186</v>
      </c>
      <c r="Y11" s="44">
        <v>152</v>
      </c>
      <c r="Z11" s="44">
        <v>123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9</v>
      </c>
      <c r="J13" s="24">
        <v>112</v>
      </c>
      <c r="K13" s="24">
        <v>98</v>
      </c>
      <c r="L13" s="24">
        <v>176</v>
      </c>
      <c r="M13" s="24">
        <v>63</v>
      </c>
      <c r="N13" s="24">
        <v>69</v>
      </c>
      <c r="O13" s="24">
        <v>124</v>
      </c>
      <c r="P13" s="24">
        <v>93</v>
      </c>
      <c r="Q13" s="24">
        <v>70</v>
      </c>
      <c r="R13" s="24">
        <v>87</v>
      </c>
      <c r="S13" s="24">
        <v>153</v>
      </c>
      <c r="T13" s="24">
        <v>102</v>
      </c>
      <c r="U13" s="24">
        <v>125</v>
      </c>
      <c r="V13" s="24">
        <v>264</v>
      </c>
      <c r="W13" s="24">
        <v>144</v>
      </c>
      <c r="X13" s="24">
        <v>92</v>
      </c>
      <c r="Y13" s="24">
        <v>152</v>
      </c>
      <c r="Z13" s="24">
        <v>123</v>
      </c>
      <c r="AA13" s="119">
        <f>IFERROR(SUM(I13:Z13)/SUM(I14:Z14),0)</f>
        <v>0.95273401297497684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9</v>
      </c>
      <c r="J14" s="44">
        <v>112</v>
      </c>
      <c r="K14" s="44">
        <v>98</v>
      </c>
      <c r="L14" s="44">
        <v>176</v>
      </c>
      <c r="M14" s="44">
        <v>63</v>
      </c>
      <c r="N14" s="44">
        <v>69</v>
      </c>
      <c r="O14" s="44">
        <v>124</v>
      </c>
      <c r="P14" s="44">
        <v>94</v>
      </c>
      <c r="Q14" s="44">
        <v>70</v>
      </c>
      <c r="R14" s="44">
        <v>87</v>
      </c>
      <c r="S14" s="44">
        <v>153</v>
      </c>
      <c r="T14" s="44">
        <v>103</v>
      </c>
      <c r="U14" s="44">
        <v>125</v>
      </c>
      <c r="V14" s="44">
        <v>269</v>
      </c>
      <c r="W14" s="44">
        <v>145</v>
      </c>
      <c r="X14" s="44">
        <v>186</v>
      </c>
      <c r="Y14" s="44">
        <v>152</v>
      </c>
      <c r="Z14" s="44">
        <v>123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9</v>
      </c>
      <c r="J16" s="24">
        <v>112</v>
      </c>
      <c r="K16" s="24">
        <v>0</v>
      </c>
      <c r="L16" s="24">
        <v>176</v>
      </c>
      <c r="M16" s="24">
        <v>63</v>
      </c>
      <c r="N16" s="24">
        <v>69</v>
      </c>
      <c r="O16" s="24">
        <v>124</v>
      </c>
      <c r="P16" s="24">
        <v>93</v>
      </c>
      <c r="Q16" s="24">
        <v>70</v>
      </c>
      <c r="R16" s="24">
        <v>87</v>
      </c>
      <c r="S16" s="24">
        <v>153</v>
      </c>
      <c r="T16" s="24">
        <v>103</v>
      </c>
      <c r="U16" s="24">
        <v>124</v>
      </c>
      <c r="V16" s="24">
        <v>269</v>
      </c>
      <c r="W16" s="24">
        <v>145</v>
      </c>
      <c r="X16" s="24">
        <v>141</v>
      </c>
      <c r="Y16" s="24">
        <v>152</v>
      </c>
      <c r="Z16" s="24">
        <v>123</v>
      </c>
      <c r="AA16" s="119">
        <f>IFERROR(SUM(I16:Z16)/SUM(I17:Z17),0)</f>
        <v>0.97718446601941744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9</v>
      </c>
      <c r="J17" s="44">
        <v>112</v>
      </c>
      <c r="K17" s="44">
        <v>0</v>
      </c>
      <c r="L17" s="44">
        <v>176</v>
      </c>
      <c r="M17" s="44">
        <v>63</v>
      </c>
      <c r="N17" s="44">
        <v>69</v>
      </c>
      <c r="O17" s="44">
        <v>124</v>
      </c>
      <c r="P17" s="44">
        <v>94</v>
      </c>
      <c r="Q17" s="44">
        <v>70</v>
      </c>
      <c r="R17" s="44">
        <v>87</v>
      </c>
      <c r="S17" s="44">
        <v>153</v>
      </c>
      <c r="T17" s="44">
        <v>103</v>
      </c>
      <c r="U17" s="44">
        <v>125</v>
      </c>
      <c r="V17" s="44">
        <v>269</v>
      </c>
      <c r="W17" s="44">
        <v>145</v>
      </c>
      <c r="X17" s="44">
        <v>186</v>
      </c>
      <c r="Y17" s="44">
        <v>152</v>
      </c>
      <c r="Z17" s="44">
        <v>123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44</v>
      </c>
      <c r="J19" s="24">
        <v>103</v>
      </c>
      <c r="K19" s="24">
        <v>155</v>
      </c>
      <c r="L19" s="24">
        <v>69</v>
      </c>
      <c r="M19" s="24">
        <v>180</v>
      </c>
      <c r="N19" s="24">
        <v>80</v>
      </c>
      <c r="O19" s="24">
        <v>42</v>
      </c>
      <c r="P19" s="24">
        <v>165</v>
      </c>
      <c r="Q19" s="24">
        <v>72</v>
      </c>
      <c r="R19" s="24">
        <v>61</v>
      </c>
      <c r="S19" s="24">
        <v>153</v>
      </c>
      <c r="T19" s="24">
        <v>87</v>
      </c>
      <c r="U19" s="24">
        <v>81</v>
      </c>
      <c r="V19" s="24">
        <v>115</v>
      </c>
      <c r="W19" s="24">
        <v>295</v>
      </c>
      <c r="X19" s="24">
        <v>196</v>
      </c>
      <c r="Y19" s="24">
        <v>96</v>
      </c>
      <c r="Z19" s="24">
        <v>72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44</v>
      </c>
      <c r="J20" s="44">
        <v>103</v>
      </c>
      <c r="K20" s="44">
        <v>155</v>
      </c>
      <c r="L20" s="44">
        <v>69</v>
      </c>
      <c r="M20" s="44">
        <v>180</v>
      </c>
      <c r="N20" s="44">
        <v>80</v>
      </c>
      <c r="O20" s="44">
        <v>42</v>
      </c>
      <c r="P20" s="44">
        <v>165</v>
      </c>
      <c r="Q20" s="44">
        <v>72</v>
      </c>
      <c r="R20" s="44">
        <v>61</v>
      </c>
      <c r="S20" s="44">
        <v>153</v>
      </c>
      <c r="T20" s="44">
        <v>87</v>
      </c>
      <c r="U20" s="44">
        <v>81</v>
      </c>
      <c r="V20" s="44">
        <v>115</v>
      </c>
      <c r="W20" s="44">
        <v>295</v>
      </c>
      <c r="X20" s="44">
        <v>196</v>
      </c>
      <c r="Y20" s="44">
        <v>96</v>
      </c>
      <c r="Z20" s="44">
        <v>72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267</v>
      </c>
      <c r="J22" s="24">
        <v>310</v>
      </c>
      <c r="K22" s="24">
        <v>359</v>
      </c>
      <c r="L22" s="24">
        <v>287</v>
      </c>
      <c r="M22" s="24">
        <v>377</v>
      </c>
      <c r="N22" s="24">
        <v>359</v>
      </c>
      <c r="O22" s="24">
        <v>234</v>
      </c>
      <c r="P22" s="24">
        <v>342</v>
      </c>
      <c r="Q22" s="24">
        <v>315</v>
      </c>
      <c r="R22" s="24">
        <v>307</v>
      </c>
      <c r="S22" s="24">
        <v>342</v>
      </c>
      <c r="T22" s="24">
        <v>360</v>
      </c>
      <c r="U22" s="24">
        <v>405</v>
      </c>
      <c r="V22" s="24">
        <v>377</v>
      </c>
      <c r="W22" s="24">
        <v>543</v>
      </c>
      <c r="X22" s="24">
        <v>394</v>
      </c>
      <c r="Y22" s="24">
        <v>431</v>
      </c>
      <c r="Z22" s="24">
        <v>351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267</v>
      </c>
      <c r="J23" s="44">
        <v>310</v>
      </c>
      <c r="K23" s="44">
        <v>359</v>
      </c>
      <c r="L23" s="44">
        <v>287</v>
      </c>
      <c r="M23" s="44">
        <v>377</v>
      </c>
      <c r="N23" s="44">
        <v>359</v>
      </c>
      <c r="O23" s="44">
        <v>234</v>
      </c>
      <c r="P23" s="44">
        <v>342</v>
      </c>
      <c r="Q23" s="44">
        <v>315</v>
      </c>
      <c r="R23" s="44">
        <v>307</v>
      </c>
      <c r="S23" s="44">
        <v>342</v>
      </c>
      <c r="T23" s="44">
        <v>360</v>
      </c>
      <c r="U23" s="44">
        <v>405</v>
      </c>
      <c r="V23" s="44">
        <v>377</v>
      </c>
      <c r="W23" s="44">
        <v>543</v>
      </c>
      <c r="X23" s="44">
        <v>394</v>
      </c>
      <c r="Y23" s="44">
        <v>431</v>
      </c>
      <c r="Z23" s="44">
        <v>351</v>
      </c>
      <c r="AA23" s="119"/>
    </row>
    <row r="24" spans="1:39" s="4" customFormat="1" ht="9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0</v>
      </c>
      <c r="J25" s="24">
        <v>60</v>
      </c>
      <c r="K25" s="24">
        <v>104</v>
      </c>
      <c r="L25" s="24">
        <v>141</v>
      </c>
      <c r="M25" s="24">
        <v>110</v>
      </c>
      <c r="N25" s="24">
        <v>98</v>
      </c>
      <c r="O25" s="24">
        <v>167</v>
      </c>
      <c r="P25" s="24">
        <v>57</v>
      </c>
      <c r="Q25" s="24">
        <v>99</v>
      </c>
      <c r="R25" s="24">
        <v>143</v>
      </c>
      <c r="S25" s="24">
        <v>36</v>
      </c>
      <c r="T25" s="24">
        <v>69</v>
      </c>
      <c r="U25" s="24">
        <v>118</v>
      </c>
      <c r="V25" s="24">
        <v>69</v>
      </c>
      <c r="W25" s="24">
        <v>127</v>
      </c>
      <c r="X25" s="24">
        <v>163</v>
      </c>
      <c r="Y25" s="24">
        <v>220</v>
      </c>
      <c r="Z25" s="24">
        <v>152</v>
      </c>
      <c r="AA25" s="119">
        <f>IFERROR(SUM(I25:Z25)/SUM(I26:Z26),0)</f>
        <v>0.99845041322314054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0</v>
      </c>
      <c r="J26" s="44">
        <v>60</v>
      </c>
      <c r="K26" s="44">
        <v>104</v>
      </c>
      <c r="L26" s="44">
        <v>141</v>
      </c>
      <c r="M26" s="44">
        <v>110</v>
      </c>
      <c r="N26" s="44">
        <v>98</v>
      </c>
      <c r="O26" s="44">
        <v>167</v>
      </c>
      <c r="P26" s="44">
        <v>57</v>
      </c>
      <c r="Q26" s="44">
        <v>99</v>
      </c>
      <c r="R26" s="44">
        <v>143</v>
      </c>
      <c r="S26" s="44">
        <v>36</v>
      </c>
      <c r="T26" s="44">
        <v>69</v>
      </c>
      <c r="U26" s="44">
        <v>118</v>
      </c>
      <c r="V26" s="44">
        <v>69</v>
      </c>
      <c r="W26" s="44">
        <v>128</v>
      </c>
      <c r="X26" s="44">
        <v>163</v>
      </c>
      <c r="Y26" s="44">
        <v>222</v>
      </c>
      <c r="Z26" s="44">
        <v>152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F22:F23"/>
    <mergeCell ref="G22:G23"/>
    <mergeCell ref="AA22:AA23"/>
    <mergeCell ref="I29:L29"/>
    <mergeCell ref="B34:M34"/>
    <mergeCell ref="A22:A23"/>
    <mergeCell ref="B22:B23"/>
    <mergeCell ref="C22:C23"/>
    <mergeCell ref="D22:D23"/>
    <mergeCell ref="E22:E23"/>
    <mergeCell ref="A18:AA18"/>
    <mergeCell ref="A19:A20"/>
    <mergeCell ref="B19:B20"/>
    <mergeCell ref="C19:C20"/>
    <mergeCell ref="D19:D20"/>
    <mergeCell ref="E19:E20"/>
    <mergeCell ref="F19:F20"/>
    <mergeCell ref="G19:G20"/>
    <mergeCell ref="AA19:AA20"/>
    <mergeCell ref="A15:AA15"/>
    <mergeCell ref="A16:A17"/>
    <mergeCell ref="B16:B17"/>
    <mergeCell ref="C16:C17"/>
    <mergeCell ref="D16:D17"/>
    <mergeCell ref="E16:E17"/>
    <mergeCell ref="F16:F17"/>
    <mergeCell ref="G16:G17"/>
    <mergeCell ref="AA16:AA17"/>
    <mergeCell ref="F13:F14"/>
    <mergeCell ref="G13:G14"/>
    <mergeCell ref="AA13:AA14"/>
    <mergeCell ref="A10:A11"/>
    <mergeCell ref="B10:B11"/>
    <mergeCell ref="C10:C11"/>
    <mergeCell ref="D10:D11"/>
    <mergeCell ref="E10:E11"/>
    <mergeCell ref="F10:F11"/>
    <mergeCell ref="A13:A14"/>
    <mergeCell ref="B13:B14"/>
    <mergeCell ref="C13:C14"/>
    <mergeCell ref="D13:D14"/>
    <mergeCell ref="E13:E14"/>
    <mergeCell ref="A1:AA1"/>
    <mergeCell ref="F2:G2"/>
    <mergeCell ref="A4:AA4"/>
    <mergeCell ref="A5:AA5"/>
    <mergeCell ref="A6:A9"/>
    <mergeCell ref="B6:H6"/>
    <mergeCell ref="I6:Z6"/>
    <mergeCell ref="AA6:AA9"/>
    <mergeCell ref="B7:D7"/>
    <mergeCell ref="E7:H7"/>
    <mergeCell ref="I7:Z7"/>
    <mergeCell ref="B8:Z8"/>
    <mergeCell ref="W2:AA2"/>
    <mergeCell ref="B35:G35"/>
    <mergeCell ref="H35:M35"/>
    <mergeCell ref="B36:G37"/>
    <mergeCell ref="H36:M37"/>
    <mergeCell ref="G10:G11"/>
    <mergeCell ref="A24:AA24"/>
    <mergeCell ref="A25:A26"/>
    <mergeCell ref="B25:B26"/>
    <mergeCell ref="C25:C26"/>
    <mergeCell ref="D25:D26"/>
    <mergeCell ref="E25:E26"/>
    <mergeCell ref="F25:F26"/>
    <mergeCell ref="G25:G26"/>
    <mergeCell ref="AA25:AA26"/>
    <mergeCell ref="AA10:AA11"/>
    <mergeCell ref="A12:AA12"/>
  </mergeCells>
  <conditionalFormatting sqref="I21:Z21">
    <cfRule type="colorScale" priority="39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33" priority="18" operator="greaterThan">
      <formula>95%</formula>
    </cfRule>
    <cfRule type="cellIs" dxfId="32" priority="19" operator="greaterThanOrEqual">
      <formula>90%</formula>
    </cfRule>
    <cfRule type="cellIs" dxfId="31" priority="20" operator="lessThan">
      <formula>89.99%</formula>
    </cfRule>
  </conditionalFormatting>
  <conditionalFormatting sqref="AA13">
    <cfRule type="cellIs" dxfId="30" priority="15" operator="greaterThan">
      <formula>95%</formula>
    </cfRule>
    <cfRule type="cellIs" dxfId="29" priority="16" operator="greaterThanOrEqual">
      <formula>90%</formula>
    </cfRule>
    <cfRule type="cellIs" dxfId="28" priority="17" operator="lessThan">
      <formula>89.99%</formula>
    </cfRule>
  </conditionalFormatting>
  <conditionalFormatting sqref="AA16">
    <cfRule type="cellIs" dxfId="27" priority="12" operator="greaterThan">
      <formula>95%</formula>
    </cfRule>
    <cfRule type="cellIs" dxfId="26" priority="13" operator="greaterThanOrEqual">
      <formula>90%</formula>
    </cfRule>
    <cfRule type="cellIs" dxfId="25" priority="14" operator="lessThan">
      <formula>89.99%</formula>
    </cfRule>
  </conditionalFormatting>
  <conditionalFormatting sqref="AA19">
    <cfRule type="cellIs" dxfId="24" priority="9" operator="greaterThan">
      <formula>95%</formula>
    </cfRule>
    <cfRule type="cellIs" dxfId="23" priority="10" operator="greaterThanOrEqual">
      <formula>90%</formula>
    </cfRule>
    <cfRule type="cellIs" dxfId="22" priority="11" operator="lessThan">
      <formula>89.99%</formula>
    </cfRule>
  </conditionalFormatting>
  <conditionalFormatting sqref="AA22">
    <cfRule type="cellIs" dxfId="21" priority="1" operator="greaterThanOrEqual">
      <formula>100%</formula>
    </cfRule>
    <cfRule type="cellIs" dxfId="20" priority="2" operator="lessThan">
      <formula>99.99%</formula>
    </cfRule>
  </conditionalFormatting>
  <conditionalFormatting sqref="AA25">
    <cfRule type="cellIs" dxfId="19" priority="3" operator="greaterThan">
      <formula>95%</formula>
    </cfRule>
    <cfRule type="cellIs" dxfId="18" priority="4" operator="greaterThanOrEqual">
      <formula>90%</formula>
    </cfRule>
    <cfRule type="cellIs" dxfId="17" priority="5" operator="lessThan">
      <formula>89.99%</formula>
    </cfRule>
  </conditionalFormatting>
  <dataValidations disablePrompts="1" count="1">
    <dataValidation showDropDown="1" showInputMessage="1" showErrorMessage="1" sqref="C21 G19:G23 G10:G11 G16:G17 G13:G14 G25:G26" xr:uid="{4323DC47-7F40-49F6-9F83-506BF56CFAE8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95B7D-D194-41F5-959C-0656538FC3B9}">
  <sheetPr>
    <tabColor theme="5" tint="-0.249977111117893"/>
  </sheetPr>
  <dimension ref="A1:AM38"/>
  <sheetViews>
    <sheetView showGridLines="0" zoomScale="66" zoomScaleNormal="66" workbookViewId="0">
      <selection activeCell="AE26" sqref="AE26"/>
    </sheetView>
  </sheetViews>
  <sheetFormatPr baseColWidth="10" defaultColWidth="11.44140625" defaultRowHeight="30" customHeight="1" x14ac:dyDescent="0.25"/>
  <cols>
    <col min="1" max="1" width="10.44140625" style="1" bestFit="1" customWidth="1"/>
    <col min="2" max="2" width="19.21875" style="1" bestFit="1" customWidth="1"/>
    <col min="3" max="3" width="19.21875" style="1" customWidth="1"/>
    <col min="4" max="4" width="14.21875" style="1" customWidth="1"/>
    <col min="5" max="5" width="21" style="1" customWidth="1"/>
    <col min="6" max="6" width="12.77734375" style="1" customWidth="1"/>
    <col min="7" max="7" width="10.21875" style="1" bestFit="1" customWidth="1"/>
    <col min="8" max="8" width="14.44140625" style="1" customWidth="1"/>
    <col min="9" max="26" width="10.77734375" style="1" customWidth="1"/>
    <col min="27" max="27" width="22.77734375" style="1" customWidth="1"/>
    <col min="28" max="16384" width="11.44140625" style="1"/>
  </cols>
  <sheetData>
    <row r="1" spans="1:39" ht="40.5" customHeight="1" x14ac:dyDescent="0.25">
      <c r="A1" s="107" t="str">
        <f>'PANEL DE CONTROL DISTRITAL'!A1:Q1</f>
        <v>INSTITUTO NACIONAL ELECTORAL
SISTEMA DE GESTIÓN DE LA CALIDAD
MICHOACÁN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</row>
    <row r="2" spans="1:39" ht="33.75" customHeight="1" x14ac:dyDescent="0.25">
      <c r="A2" s="12"/>
      <c r="B2" s="12"/>
      <c r="C2" s="12"/>
      <c r="D2" s="9" t="s">
        <v>24</v>
      </c>
      <c r="E2" s="9">
        <v>11</v>
      </c>
      <c r="F2" s="129" t="s">
        <v>25</v>
      </c>
      <c r="G2" s="129"/>
      <c r="H2" s="22">
        <v>161156</v>
      </c>
      <c r="I2" s="21"/>
      <c r="J2" s="21"/>
      <c r="K2" s="21"/>
      <c r="L2" s="21"/>
      <c r="M2" s="21"/>
      <c r="N2" s="21"/>
      <c r="O2" s="21"/>
      <c r="P2" s="12"/>
      <c r="Q2" s="12"/>
      <c r="R2" s="12"/>
      <c r="S2" s="12"/>
      <c r="T2" s="12"/>
      <c r="U2" s="12"/>
      <c r="V2" s="12"/>
      <c r="W2" s="145" t="str">
        <f>'PANEL DE CONTROL DISTRITAL'!AC2</f>
        <v>Fecha de corte 31/12/2023</v>
      </c>
      <c r="X2" s="145"/>
      <c r="Y2" s="145"/>
      <c r="Z2" s="145"/>
      <c r="AA2" s="145"/>
      <c r="AB2" s="17"/>
    </row>
    <row r="3" spans="1:39" ht="11.25" customHeight="1" thickBot="1" x14ac:dyDescent="0.3">
      <c r="A3" s="12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9" ht="30" customHeight="1" thickTop="1" thickBot="1" x14ac:dyDescent="0.3">
      <c r="A4" s="132" t="s">
        <v>26</v>
      </c>
      <c r="B4" s="133"/>
      <c r="C4" s="133"/>
      <c r="D4" s="133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4"/>
      <c r="AC4" s="20"/>
    </row>
    <row r="5" spans="1:39" ht="5.25" customHeight="1" thickTop="1" thickBot="1" x14ac:dyDescent="0.3">
      <c r="A5" s="135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7"/>
    </row>
    <row r="6" spans="1:39" ht="18" customHeight="1" thickTop="1" thickBot="1" x14ac:dyDescent="0.3">
      <c r="A6" s="130" t="str">
        <f>'PANEL DE CONTROL DISTRITAL'!A6</f>
        <v>Número</v>
      </c>
      <c r="B6" s="131" t="str">
        <f>'PANEL DE CONTROL DISTRITAL'!B6</f>
        <v xml:space="preserve">PROCESOS SUSTANTIVOS E INDICADORES </v>
      </c>
      <c r="C6" s="131"/>
      <c r="D6" s="131"/>
      <c r="E6" s="131"/>
      <c r="F6" s="131"/>
      <c r="G6" s="131"/>
      <c r="H6" s="131"/>
      <c r="I6" s="138" t="s">
        <v>21</v>
      </c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40" t="s">
        <v>7</v>
      </c>
    </row>
    <row r="7" spans="1:39" ht="17.25" customHeight="1" thickTop="1" thickBot="1" x14ac:dyDescent="0.3">
      <c r="A7" s="130"/>
      <c r="B7" s="131" t="str">
        <f>'PANEL DE CONTROL DISTRITAL'!B7</f>
        <v>DESCRIPCIÓN</v>
      </c>
      <c r="C7" s="131"/>
      <c r="D7" s="131"/>
      <c r="E7" s="131" t="str">
        <f>'PANEL DE CONTROL DISTRITAL'!E7</f>
        <v>MEDICIÓN</v>
      </c>
      <c r="F7" s="131"/>
      <c r="G7" s="131"/>
      <c r="H7" s="131"/>
      <c r="I7" s="141" t="str">
        <f>'PANEL DE CONTROL DISTRITAL'!A5</f>
        <v>CAMPAÑA ANUAL INTENSA 2023_2024</v>
      </c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0"/>
    </row>
    <row r="8" spans="1:39" ht="5.25" customHeight="1" thickTop="1" thickBot="1" x14ac:dyDescent="0.3">
      <c r="A8" s="130"/>
      <c r="B8" s="143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4"/>
      <c r="AA8" s="140"/>
    </row>
    <row r="9" spans="1:39" s="2" customFormat="1" ht="29.25" customHeight="1" thickTop="1" thickBot="1" x14ac:dyDescent="0.3">
      <c r="A9" s="130"/>
      <c r="B9" s="25" t="str">
        <f>'PANEL DE CONTROL DISTRITAL'!B8</f>
        <v xml:space="preserve">Proceso </v>
      </c>
      <c r="C9" s="25" t="str">
        <f>'PANEL DE CONTROL DISTRITAL'!C8</f>
        <v>Dueño de Proceso</v>
      </c>
      <c r="D9" s="25" t="str">
        <f>'PANEL DE CONTROL DISTRITAL'!D8</f>
        <v>Indicador</v>
      </c>
      <c r="E9" s="25" t="str">
        <f>'PANEL DE CONTROL DISTRITAL'!E8</f>
        <v>Cálculo</v>
      </c>
      <c r="F9" s="25" t="str">
        <f>'PANEL DE CONTROL DISTRITAL'!F8</f>
        <v xml:space="preserve">Periodo </v>
      </c>
      <c r="G9" s="25" t="str">
        <f>'PANEL DE CONTROL DISTRITAL'!G8</f>
        <v>Estimado</v>
      </c>
      <c r="H9" s="43" t="str">
        <f>'PANEL DE CONTROL DISTRITAL'!H8</f>
        <v>Nominativo</v>
      </c>
      <c r="I9" s="32" t="str">
        <f>'160151'!I9</f>
        <v>2023-37</v>
      </c>
      <c r="J9" s="32" t="str">
        <f>'160151'!J9</f>
        <v>2023-38</v>
      </c>
      <c r="K9" s="32" t="str">
        <f>'160151'!K9</f>
        <v>2023-39</v>
      </c>
      <c r="L9" s="32" t="str">
        <f>'160151'!L9</f>
        <v>2023-40</v>
      </c>
      <c r="M9" s="32" t="str">
        <f>'160151'!M9</f>
        <v>2023-41</v>
      </c>
      <c r="N9" s="32" t="str">
        <f>'160151'!N9</f>
        <v>2023-42</v>
      </c>
      <c r="O9" s="32" t="str">
        <f>'160151'!O9</f>
        <v>2023-43</v>
      </c>
      <c r="P9" s="32" t="str">
        <f>'160151'!P9</f>
        <v>2023-44</v>
      </c>
      <c r="Q9" s="32" t="str">
        <f>'160151'!Q9</f>
        <v>2023-45</v>
      </c>
      <c r="R9" s="32" t="str">
        <f>'160151'!R9</f>
        <v>2023-46</v>
      </c>
      <c r="S9" s="32" t="str">
        <f>'160151'!S9</f>
        <v>2023-47</v>
      </c>
      <c r="T9" s="32" t="str">
        <f>'160151'!T9</f>
        <v>2023-48</v>
      </c>
      <c r="U9" s="32" t="str">
        <f>'160151'!U9</f>
        <v>2023-49</v>
      </c>
      <c r="V9" s="32" t="str">
        <f>'160151'!V9</f>
        <v>2023-50</v>
      </c>
      <c r="W9" s="32" t="str">
        <f>'160151'!W9</f>
        <v>2023-51</v>
      </c>
      <c r="X9" s="32" t="str">
        <f>'160151'!X9</f>
        <v>2023-52</v>
      </c>
      <c r="Y9" s="32" t="str">
        <f>'160151'!Y9</f>
        <v>2023-53</v>
      </c>
      <c r="Z9" s="32" t="str">
        <f>'160151'!Z9</f>
        <v>2023-54</v>
      </c>
      <c r="AA9" s="140"/>
    </row>
    <row r="10" spans="1:39" s="2" customFormat="1" ht="50.1" customHeight="1" thickTop="1" thickBot="1" x14ac:dyDescent="0.3">
      <c r="A10" s="120">
        <f>'PANEL DE CONTROL DISTRITAL'!A9</f>
        <v>1</v>
      </c>
      <c r="B10" s="121" t="str">
        <f>'PANEL DE CONTROL DISTRITAL'!B9</f>
        <v>ENTREVISTA</v>
      </c>
      <c r="C10" s="122" t="str">
        <f>'PANEL DE CONTROL DISTRITAL'!C9</f>
        <v xml:space="preserve"> Auxiliar de Atención Ciudadana</v>
      </c>
      <c r="D10" s="123" t="str">
        <f>'PANEL DE CONTROL DISTRITAL'!D9</f>
        <v>Efectividad de la entrevista =</v>
      </c>
      <c r="E10" s="122" t="str">
        <f>'PANEL DE CONTROL DISTRITAL'!E9</f>
        <v>(Número de trámites aplicados / (Número de fichas requisitadas - Notificaciones de improcedencia de trámite)) x 100</v>
      </c>
      <c r="F10" s="124" t="str">
        <f>'PANEL DE CONTROL DISTRITAL'!F9</f>
        <v>Semanal (remesa)</v>
      </c>
      <c r="G10" s="125">
        <f>'PANEL DE CONTROL DISTRITAL'!G9</f>
        <v>0.9</v>
      </c>
      <c r="H10" s="26" t="str">
        <f>'PANEL DE CONTROL DISTRITAL'!H9</f>
        <v>Número de trámites aplicados</v>
      </c>
      <c r="I10" s="24">
        <v>17</v>
      </c>
      <c r="J10" s="24">
        <v>124</v>
      </c>
      <c r="K10" s="24">
        <v>84</v>
      </c>
      <c r="L10" s="24">
        <v>91</v>
      </c>
      <c r="M10" s="24">
        <v>105</v>
      </c>
      <c r="N10" s="24">
        <v>268</v>
      </c>
      <c r="O10" s="24">
        <v>291</v>
      </c>
      <c r="P10" s="24">
        <v>133</v>
      </c>
      <c r="Q10" s="24">
        <v>95</v>
      </c>
      <c r="R10" s="24">
        <v>70</v>
      </c>
      <c r="S10" s="24">
        <v>296</v>
      </c>
      <c r="T10" s="24">
        <v>156</v>
      </c>
      <c r="U10" s="24">
        <v>91</v>
      </c>
      <c r="V10" s="24">
        <v>174</v>
      </c>
      <c r="W10" s="24">
        <v>209</v>
      </c>
      <c r="X10" s="24">
        <v>312</v>
      </c>
      <c r="Y10" s="24">
        <v>312</v>
      </c>
      <c r="Z10" s="24">
        <v>118</v>
      </c>
      <c r="AA10" s="119">
        <f>IFERROR(SUM(I10:Z10)/SUM(I11:Z11),0)</f>
        <v>1</v>
      </c>
    </row>
    <row r="11" spans="1:39" s="2" customFormat="1" ht="50.1" customHeight="1" thickTop="1" thickBot="1" x14ac:dyDescent="0.3">
      <c r="A11" s="120"/>
      <c r="B11" s="121"/>
      <c r="C11" s="122"/>
      <c r="D11" s="123"/>
      <c r="E11" s="122"/>
      <c r="F11" s="124"/>
      <c r="G11" s="125"/>
      <c r="H11" s="26" t="str">
        <f>'PANEL DE CONTROL DISTRITAL'!H10</f>
        <v>Número de fichas requisitadas - Notificaciones de improcedencia de trámite</v>
      </c>
      <c r="I11" s="44">
        <v>17</v>
      </c>
      <c r="J11" s="44">
        <v>124</v>
      </c>
      <c r="K11" s="44">
        <v>84</v>
      </c>
      <c r="L11" s="44">
        <v>91</v>
      </c>
      <c r="M11" s="44">
        <v>105</v>
      </c>
      <c r="N11" s="44">
        <v>268</v>
      </c>
      <c r="O11" s="44">
        <v>291</v>
      </c>
      <c r="P11" s="44">
        <v>133</v>
      </c>
      <c r="Q11" s="44">
        <v>95</v>
      </c>
      <c r="R11" s="44">
        <v>70</v>
      </c>
      <c r="S11" s="44">
        <v>296</v>
      </c>
      <c r="T11" s="44">
        <v>156</v>
      </c>
      <c r="U11" s="44">
        <v>91</v>
      </c>
      <c r="V11" s="44">
        <v>174</v>
      </c>
      <c r="W11" s="44">
        <v>209</v>
      </c>
      <c r="X11" s="44">
        <v>312</v>
      </c>
      <c r="Y11" s="44">
        <v>312</v>
      </c>
      <c r="Z11" s="44">
        <v>118</v>
      </c>
      <c r="AA11" s="119"/>
    </row>
    <row r="12" spans="1:39" s="46" customFormat="1" ht="8.1" customHeight="1" thickTop="1" thickBot="1" x14ac:dyDescent="0.3">
      <c r="A12" s="120"/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</row>
    <row r="13" spans="1:39" s="3" customFormat="1" ht="50.1" customHeight="1" thickTop="1" thickBot="1" x14ac:dyDescent="0.3">
      <c r="A13" s="120">
        <f>'PANEL DE CONTROL DISTRITAL'!A12</f>
        <v>2</v>
      </c>
      <c r="B13" s="121" t="str">
        <f>'PANEL DE CONTROL DISTRITAL'!B12</f>
        <v>TRÁMITE</v>
      </c>
      <c r="C13" s="122" t="str">
        <f>'PANEL DE CONTROL DISTRITAL'!C12</f>
        <v>Operador de Equipo Tecnológico</v>
      </c>
      <c r="D13" s="123" t="str">
        <f>'PANEL DE CONTROL DISTRITAL'!D12</f>
        <v>Trámites exitosos efectivos=</v>
      </c>
      <c r="E13" s="122" t="str">
        <f>'PANEL DE CONTROL DISTRITAL'!E12</f>
        <v>(Número de trámites exitosos / Número de trámites aplicados) x 100</v>
      </c>
      <c r="F13" s="124" t="str">
        <f>'PANEL DE CONTROL DISTRITAL'!F12</f>
        <v>Semanal (remesa)</v>
      </c>
      <c r="G13" s="125">
        <f>'PANEL DE CONTROL DISTRITAL'!G12</f>
        <v>0.9</v>
      </c>
      <c r="H13" s="26" t="str">
        <f>'PANEL DE CONTROL DISTRITAL'!H12</f>
        <v>Número de trámites exitosos</v>
      </c>
      <c r="I13" s="24">
        <v>16</v>
      </c>
      <c r="J13" s="24">
        <v>123</v>
      </c>
      <c r="K13" s="24">
        <v>83</v>
      </c>
      <c r="L13" s="24">
        <v>91</v>
      </c>
      <c r="M13" s="24">
        <v>105</v>
      </c>
      <c r="N13" s="24">
        <v>268</v>
      </c>
      <c r="O13" s="24">
        <v>287</v>
      </c>
      <c r="P13" s="24">
        <v>133</v>
      </c>
      <c r="Q13" s="24">
        <v>92</v>
      </c>
      <c r="R13" s="24">
        <v>70</v>
      </c>
      <c r="S13" s="24">
        <v>295</v>
      </c>
      <c r="T13" s="24">
        <v>155</v>
      </c>
      <c r="U13" s="24">
        <v>90</v>
      </c>
      <c r="V13" s="24">
        <v>174</v>
      </c>
      <c r="W13" s="24">
        <v>208</v>
      </c>
      <c r="X13" s="24">
        <v>204</v>
      </c>
      <c r="Y13" s="24">
        <v>0</v>
      </c>
      <c r="Z13" s="24">
        <v>309</v>
      </c>
      <c r="AA13" s="119">
        <f>IFERROR(SUM(I13:Z13)/SUM(I14:Z14),0)</f>
        <v>0.95209580838323349</v>
      </c>
    </row>
    <row r="14" spans="1:39" s="3" customFormat="1" ht="50.1" customHeight="1" thickTop="1" thickBot="1" x14ac:dyDescent="0.3">
      <c r="A14" s="120"/>
      <c r="B14" s="121"/>
      <c r="C14" s="122"/>
      <c r="D14" s="123"/>
      <c r="E14" s="122"/>
      <c r="F14" s="124"/>
      <c r="G14" s="125"/>
      <c r="H14" s="26" t="str">
        <f>'PANEL DE CONTROL DISTRITAL'!H13</f>
        <v>Número de trámites aplicados</v>
      </c>
      <c r="I14" s="44">
        <v>17</v>
      </c>
      <c r="J14" s="44">
        <v>124</v>
      </c>
      <c r="K14" s="44">
        <v>84</v>
      </c>
      <c r="L14" s="44">
        <v>91</v>
      </c>
      <c r="M14" s="44">
        <v>105</v>
      </c>
      <c r="N14" s="44">
        <v>268</v>
      </c>
      <c r="O14" s="44">
        <v>291</v>
      </c>
      <c r="P14" s="44">
        <v>133</v>
      </c>
      <c r="Q14" s="44">
        <v>95</v>
      </c>
      <c r="R14" s="44">
        <v>70</v>
      </c>
      <c r="S14" s="44">
        <v>296</v>
      </c>
      <c r="T14" s="44">
        <v>156</v>
      </c>
      <c r="U14" s="44">
        <v>91</v>
      </c>
      <c r="V14" s="44">
        <v>174</v>
      </c>
      <c r="W14" s="44">
        <v>208</v>
      </c>
      <c r="X14" s="44">
        <v>206</v>
      </c>
      <c r="Y14" s="44">
        <v>312</v>
      </c>
      <c r="Z14" s="44">
        <v>118</v>
      </c>
      <c r="AA14" s="119"/>
    </row>
    <row r="15" spans="1:39" s="46" customFormat="1" ht="8.1" customHeight="1" thickTop="1" thickBot="1" x14ac:dyDescent="0.3">
      <c r="A15" s="120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</row>
    <row r="16" spans="1:39" s="3" customFormat="1" ht="50.1" customHeight="1" thickTop="1" thickBot="1" x14ac:dyDescent="0.3">
      <c r="A16" s="120">
        <f>'PANEL DE CONTROL DISTRITAL'!A15</f>
        <v>3</v>
      </c>
      <c r="B16" s="121" t="str">
        <f>'PANEL DE CONTROL DISTRITAL'!B15</f>
        <v>TRANSFERENCIA</v>
      </c>
      <c r="C16" s="122" t="str">
        <f>'PANEL DE CONTROL DISTRITAL'!C15</f>
        <v>Responsable de Módulo</v>
      </c>
      <c r="D16" s="123" t="str">
        <f>'PANEL DE CONTROL DISTRITAL'!D15</f>
        <v xml:space="preserve">Transacciones exitosas = </v>
      </c>
      <c r="E16" s="122" t="str">
        <f>'PANEL DE CONTROL DISTRITAL'!E15</f>
        <v>(Número de Archivos de Transacción aceptados /Total de Archivos de Transacción procesados) x100</v>
      </c>
      <c r="F16" s="124" t="str">
        <f>'PANEL DE CONTROL DISTRITAL'!F15</f>
        <v>Semanal (remesa)</v>
      </c>
      <c r="G16" s="125">
        <f>'PANEL DE CONTROL DISTRITAL'!G15</f>
        <v>0.9</v>
      </c>
      <c r="H16" s="26" t="str">
        <f>'PANEL DE CONTROL DISTRITAL'!H15</f>
        <v>Número de Archivos de Transacción aceptados</v>
      </c>
      <c r="I16" s="24">
        <v>17</v>
      </c>
      <c r="J16" s="24">
        <v>124</v>
      </c>
      <c r="K16" s="24">
        <v>84</v>
      </c>
      <c r="L16" s="24">
        <v>91</v>
      </c>
      <c r="M16" s="24">
        <v>105</v>
      </c>
      <c r="N16" s="24">
        <v>247</v>
      </c>
      <c r="O16" s="24">
        <v>209</v>
      </c>
      <c r="P16" s="24">
        <v>121</v>
      </c>
      <c r="Q16" s="24">
        <v>95</v>
      </c>
      <c r="R16" s="24">
        <v>70</v>
      </c>
      <c r="S16" s="24">
        <v>258</v>
      </c>
      <c r="T16" s="24">
        <v>124</v>
      </c>
      <c r="U16" s="24">
        <v>91</v>
      </c>
      <c r="V16" s="24">
        <v>168</v>
      </c>
      <c r="W16" s="24">
        <v>209</v>
      </c>
      <c r="X16" s="24">
        <v>206</v>
      </c>
      <c r="Y16" s="24">
        <v>224</v>
      </c>
      <c r="Z16" s="24">
        <v>118</v>
      </c>
      <c r="AA16" s="119">
        <f>IFERROR(SUM(I16:Z16)/SUM(I17:Z17),0)</f>
        <v>0.9020781965480803</v>
      </c>
    </row>
    <row r="17" spans="1:39" s="3" customFormat="1" ht="50.1" customHeight="1" thickTop="1" thickBot="1" x14ac:dyDescent="0.3">
      <c r="A17" s="120"/>
      <c r="B17" s="121"/>
      <c r="C17" s="122"/>
      <c r="D17" s="123"/>
      <c r="E17" s="122"/>
      <c r="F17" s="124"/>
      <c r="G17" s="125"/>
      <c r="H17" s="26" t="str">
        <f>'PANEL DE CONTROL DISTRITAL'!H16</f>
        <v>Total de Archivos de Transacción procesados</v>
      </c>
      <c r="I17" s="44">
        <v>16</v>
      </c>
      <c r="J17" s="44">
        <v>124</v>
      </c>
      <c r="K17" s="44">
        <v>84</v>
      </c>
      <c r="L17" s="44">
        <v>91</v>
      </c>
      <c r="M17" s="44">
        <v>105</v>
      </c>
      <c r="N17" s="44">
        <v>268</v>
      </c>
      <c r="O17" s="44">
        <v>291</v>
      </c>
      <c r="P17" s="44">
        <v>133</v>
      </c>
      <c r="Q17" s="44">
        <v>95</v>
      </c>
      <c r="R17" s="44">
        <v>70</v>
      </c>
      <c r="S17" s="44">
        <v>296</v>
      </c>
      <c r="T17" s="44">
        <v>156</v>
      </c>
      <c r="U17" s="44">
        <v>91</v>
      </c>
      <c r="V17" s="44">
        <v>174</v>
      </c>
      <c r="W17" s="44">
        <v>209</v>
      </c>
      <c r="X17" s="44">
        <v>206</v>
      </c>
      <c r="Y17" s="44">
        <v>312</v>
      </c>
      <c r="Z17" s="44">
        <v>118</v>
      </c>
      <c r="AA17" s="119"/>
    </row>
    <row r="18" spans="1:39" s="46" customFormat="1" ht="8.1" customHeight="1" thickTop="1" thickBot="1" x14ac:dyDescent="0.3">
      <c r="A18" s="120"/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</row>
    <row r="19" spans="1:39" s="3" customFormat="1" ht="50.1" customHeight="1" thickTop="1" thickBot="1" x14ac:dyDescent="0.3">
      <c r="A19" s="120">
        <f>'PANEL DE CONTROL DISTRITAL'!A18</f>
        <v>4</v>
      </c>
      <c r="B19" s="121" t="str">
        <f>'PANEL DE CONTROL DISTRITAL'!B18</f>
        <v>CONCILIACIÓN</v>
      </c>
      <c r="C19" s="122" t="str">
        <f>'PANEL DE CONTROL DISTRITAL'!C18</f>
        <v>Responsable de Módulo</v>
      </c>
      <c r="D19" s="123" t="str">
        <f>'PANEL DE CONTROL DISTRITAL'!D18</f>
        <v xml:space="preserve">Credenciales disponibles para entrega = </v>
      </c>
      <c r="E19" s="122" t="str">
        <f>'PANEL DE CONTROL DISTRITAL'!E18</f>
        <v>((Credenciales recibidas - Credenciales inconsistentes) / Credenciales recibidas) x 100</v>
      </c>
      <c r="F19" s="124" t="str">
        <f>'PANEL DE CONTROL DISTRITAL'!F18</f>
        <v>Semanal (remesa)</v>
      </c>
      <c r="G19" s="125">
        <f>'PANEL DE CONTROL DISTRITAL'!G18</f>
        <v>0.9</v>
      </c>
      <c r="H19" s="26" t="str">
        <f>'PANEL DE CONTROL DISTRITAL'!H18</f>
        <v xml:space="preserve">Credenciales Recibidas - Credenciales inconsistentes </v>
      </c>
      <c r="I19" s="24">
        <v>0</v>
      </c>
      <c r="J19" s="24">
        <v>242</v>
      </c>
      <c r="K19" s="24">
        <v>141</v>
      </c>
      <c r="L19" s="24">
        <v>80</v>
      </c>
      <c r="M19" s="24">
        <v>93</v>
      </c>
      <c r="N19" s="24">
        <v>0</v>
      </c>
      <c r="O19" s="24">
        <v>308</v>
      </c>
      <c r="P19" s="24">
        <v>274</v>
      </c>
      <c r="Q19" s="24">
        <v>212</v>
      </c>
      <c r="R19" s="24">
        <v>0</v>
      </c>
      <c r="S19" s="24">
        <v>122</v>
      </c>
      <c r="T19" s="24">
        <v>210</v>
      </c>
      <c r="U19" s="24">
        <v>241</v>
      </c>
      <c r="V19" s="24">
        <v>121</v>
      </c>
      <c r="W19" s="24">
        <v>0</v>
      </c>
      <c r="X19" s="24">
        <v>336</v>
      </c>
      <c r="Y19" s="24">
        <v>260</v>
      </c>
      <c r="Z19" s="24">
        <v>143</v>
      </c>
      <c r="AA19" s="119">
        <f>IFERROR(SUM(I19:Z19)/SUM(I20:Z20),0)</f>
        <v>1</v>
      </c>
    </row>
    <row r="20" spans="1:39" s="3" customFormat="1" ht="50.1" customHeight="1" thickTop="1" thickBot="1" x14ac:dyDescent="0.3">
      <c r="A20" s="120"/>
      <c r="B20" s="121"/>
      <c r="C20" s="122"/>
      <c r="D20" s="123"/>
      <c r="E20" s="122"/>
      <c r="F20" s="124"/>
      <c r="G20" s="125"/>
      <c r="H20" s="26" t="str">
        <f>'PANEL DE CONTROL DISTRITAL'!H19</f>
        <v xml:space="preserve">Credenciales recibidas </v>
      </c>
      <c r="I20" s="44">
        <v>0</v>
      </c>
      <c r="J20" s="44">
        <v>242</v>
      </c>
      <c r="K20" s="44">
        <v>141</v>
      </c>
      <c r="L20" s="44">
        <v>80</v>
      </c>
      <c r="M20" s="44">
        <v>93</v>
      </c>
      <c r="N20" s="44">
        <v>0</v>
      </c>
      <c r="O20" s="44">
        <v>308</v>
      </c>
      <c r="P20" s="44">
        <v>274</v>
      </c>
      <c r="Q20" s="44">
        <v>212</v>
      </c>
      <c r="R20" s="44">
        <v>0</v>
      </c>
      <c r="S20" s="44">
        <v>122</v>
      </c>
      <c r="T20" s="44">
        <v>210</v>
      </c>
      <c r="U20" s="44">
        <v>241</v>
      </c>
      <c r="V20" s="44">
        <v>121</v>
      </c>
      <c r="W20" s="44">
        <v>0</v>
      </c>
      <c r="X20" s="44">
        <v>336</v>
      </c>
      <c r="Y20" s="44">
        <v>260</v>
      </c>
      <c r="Z20" s="44">
        <v>143</v>
      </c>
      <c r="AA20" s="119"/>
    </row>
    <row r="21" spans="1:39" s="46" customFormat="1" ht="8.1" customHeight="1" thickTop="1" thickBot="1" x14ac:dyDescent="0.3">
      <c r="A21" s="47"/>
      <c r="B21" s="48"/>
      <c r="C21" s="49"/>
      <c r="D21" s="50"/>
      <c r="E21" s="49"/>
      <c r="F21" s="51"/>
      <c r="G21" s="52"/>
      <c r="H21" s="53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</row>
    <row r="22" spans="1:39" s="3" customFormat="1" ht="50.1" customHeight="1" thickTop="1" thickBot="1" x14ac:dyDescent="0.3">
      <c r="A22" s="120">
        <f>'PANEL DE CONTROL DISTRITAL'!A21</f>
        <v>5</v>
      </c>
      <c r="B22" s="121" t="str">
        <f>'PANEL DE CONTROL DISTRITAL'!B21</f>
        <v>CONCILIACIÓN</v>
      </c>
      <c r="C22" s="122" t="str">
        <f>'PANEL DE CONTROL DISTRITAL'!C21</f>
        <v>Responsable de Módulo</v>
      </c>
      <c r="D22" s="123" t="str">
        <f>'PANEL DE CONTROL DISTRITAL'!D21</f>
        <v xml:space="preserve">Credenciales disponibles para entrega = </v>
      </c>
      <c r="E22" s="122" t="str">
        <f>'PANEL DE CONTROL DISTRITAL'!E21</f>
        <v>(Credenciales en resguardo / Credenciales totales en SIIRFE disponibles para entrega) x 100</v>
      </c>
      <c r="F22" s="124" t="str">
        <f>'PANEL DE CONTROL DISTRITAL'!F21</f>
        <v>Semanal (remesa)</v>
      </c>
      <c r="G22" s="125">
        <f>'PANEL DE CONTROL DISTRITAL'!G21</f>
        <v>1</v>
      </c>
      <c r="H22" s="26" t="str">
        <f>'PANEL DE CONTROL DISTRITAL'!H21</f>
        <v>Credenciales en resguardo</v>
      </c>
      <c r="I22" s="24">
        <v>577</v>
      </c>
      <c r="J22" s="24">
        <v>762</v>
      </c>
      <c r="K22" s="24">
        <v>832</v>
      </c>
      <c r="L22" s="24">
        <v>858</v>
      </c>
      <c r="M22" s="24">
        <v>933</v>
      </c>
      <c r="N22" s="24">
        <v>553</v>
      </c>
      <c r="O22" s="24">
        <v>674</v>
      </c>
      <c r="P22" s="24">
        <v>845</v>
      </c>
      <c r="Q22" s="24">
        <v>964</v>
      </c>
      <c r="R22" s="24">
        <v>736</v>
      </c>
      <c r="S22" s="24">
        <v>501</v>
      </c>
      <c r="T22" s="24">
        <v>530</v>
      </c>
      <c r="U22" s="24">
        <v>680</v>
      </c>
      <c r="V22" s="24">
        <v>603</v>
      </c>
      <c r="W22" s="24">
        <v>481</v>
      </c>
      <c r="X22" s="24">
        <v>676</v>
      </c>
      <c r="Y22" s="24">
        <v>722</v>
      </c>
      <c r="Z22" s="24">
        <v>675</v>
      </c>
      <c r="AA22" s="119">
        <f>IFERROR(SUM(I22:Z22)/SUM(I23:Z23),0)</f>
        <v>1</v>
      </c>
    </row>
    <row r="23" spans="1:39" s="3" customFormat="1" ht="50.1" customHeight="1" thickTop="1" thickBot="1" x14ac:dyDescent="0.3">
      <c r="A23" s="120"/>
      <c r="B23" s="121"/>
      <c r="C23" s="122"/>
      <c r="D23" s="123"/>
      <c r="E23" s="122"/>
      <c r="F23" s="124"/>
      <c r="G23" s="125"/>
      <c r="H23" s="26" t="str">
        <f>'PANEL DE CONTROL DISTRITAL'!H22</f>
        <v>Credenciales totales en SIIRFE disponibles para entrega</v>
      </c>
      <c r="I23" s="44">
        <v>577</v>
      </c>
      <c r="J23" s="44">
        <v>762</v>
      </c>
      <c r="K23" s="44">
        <v>832</v>
      </c>
      <c r="L23" s="44">
        <v>858</v>
      </c>
      <c r="M23" s="44">
        <v>933</v>
      </c>
      <c r="N23" s="44">
        <v>553</v>
      </c>
      <c r="O23" s="44">
        <v>674</v>
      </c>
      <c r="P23" s="44">
        <v>845</v>
      </c>
      <c r="Q23" s="44">
        <v>964</v>
      </c>
      <c r="R23" s="44">
        <v>736</v>
      </c>
      <c r="S23" s="44">
        <v>501</v>
      </c>
      <c r="T23" s="44">
        <v>530</v>
      </c>
      <c r="U23" s="44">
        <v>680</v>
      </c>
      <c r="V23" s="44">
        <v>603</v>
      </c>
      <c r="W23" s="44">
        <v>481</v>
      </c>
      <c r="X23" s="44">
        <v>676</v>
      </c>
      <c r="Y23" s="44">
        <v>722</v>
      </c>
      <c r="Z23" s="44">
        <v>675</v>
      </c>
      <c r="AA23" s="119"/>
    </row>
    <row r="24" spans="1:39" s="4" customFormat="1" ht="9" customHeight="1" thickTop="1" thickBot="1" x14ac:dyDescent="0.3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</row>
    <row r="25" spans="1:39" ht="50.1" customHeight="1" thickTop="1" thickBot="1" x14ac:dyDescent="0.3">
      <c r="A25" s="120">
        <f>'PANEL DE CONTROL DISTRITAL'!A24</f>
        <v>6</v>
      </c>
      <c r="B25" s="121" t="str">
        <f>'PANEL DE CONTROL DISTRITAL'!B24</f>
        <v>ENTREGA</v>
      </c>
      <c r="C25" s="122" t="str">
        <f>'PANEL DE CONTROL DISTRITAL'!C24</f>
        <v>Operador de Equipo Tecnológico</v>
      </c>
      <c r="D25" s="123" t="str">
        <f>'PANEL DE CONTROL DISTRITAL'!D24</f>
        <v xml:space="preserve">Efectividad de entrega de CPV en MAC = </v>
      </c>
      <c r="E25" s="122" t="str">
        <f>'PANEL DE CONTROL DISTRITAL'!E24</f>
        <v>(Total de credenciales entregadas / Total de credenciales solicitadas) x 100</v>
      </c>
      <c r="F25" s="124" t="str">
        <f>'PANEL DE CONTROL DISTRITAL'!F24</f>
        <v>Semanal (remesa)</v>
      </c>
      <c r="G25" s="125">
        <f>'PANEL DE CONTROL DISTRITAL'!G24</f>
        <v>0.9</v>
      </c>
      <c r="H25" s="26" t="str">
        <f>'PANEL DE CONTROL DISTRITAL'!H24</f>
        <v xml:space="preserve">Total de credenciales entregadas </v>
      </c>
      <c r="I25" s="24">
        <v>36</v>
      </c>
      <c r="J25" s="24">
        <v>56</v>
      </c>
      <c r="K25" s="24">
        <v>64</v>
      </c>
      <c r="L25" s="24">
        <v>54</v>
      </c>
      <c r="M25" s="24">
        <v>18</v>
      </c>
      <c r="N25" s="24">
        <v>380</v>
      </c>
      <c r="O25" s="24">
        <v>185</v>
      </c>
      <c r="P25" s="24">
        <v>103</v>
      </c>
      <c r="Q25" s="24">
        <v>93</v>
      </c>
      <c r="R25" s="24">
        <v>228</v>
      </c>
      <c r="S25" s="24">
        <v>357</v>
      </c>
      <c r="T25" s="24">
        <v>178</v>
      </c>
      <c r="U25" s="24">
        <v>91</v>
      </c>
      <c r="V25" s="24">
        <v>198</v>
      </c>
      <c r="W25" s="24">
        <v>121</v>
      </c>
      <c r="X25" s="24">
        <v>141</v>
      </c>
      <c r="Y25" s="24">
        <v>214</v>
      </c>
      <c r="Z25" s="24">
        <v>189</v>
      </c>
      <c r="AA25" s="119">
        <f>IFERROR(SUM(I25:Z25)/SUM(I26:Z26),0)</f>
        <v>0.99120879120879124</v>
      </c>
    </row>
    <row r="26" spans="1:39" ht="50.1" customHeight="1" thickTop="1" thickBot="1" x14ac:dyDescent="0.3">
      <c r="A26" s="120"/>
      <c r="B26" s="121"/>
      <c r="C26" s="122"/>
      <c r="D26" s="123"/>
      <c r="E26" s="122"/>
      <c r="F26" s="124"/>
      <c r="G26" s="125"/>
      <c r="H26" s="26" t="str">
        <f>'PANEL DE CONTROL DISTRITAL'!H25</f>
        <v xml:space="preserve"> Total de credenciales solicitadas</v>
      </c>
      <c r="I26" s="44">
        <v>36</v>
      </c>
      <c r="J26" s="44">
        <v>56</v>
      </c>
      <c r="K26" s="44">
        <v>64</v>
      </c>
      <c r="L26" s="44">
        <v>54</v>
      </c>
      <c r="M26" s="44">
        <v>18</v>
      </c>
      <c r="N26" s="44">
        <v>380</v>
      </c>
      <c r="O26" s="44">
        <v>185</v>
      </c>
      <c r="P26" s="44">
        <v>103</v>
      </c>
      <c r="Q26" s="44">
        <v>93</v>
      </c>
      <c r="R26" s="44">
        <v>228</v>
      </c>
      <c r="S26" s="44">
        <v>357</v>
      </c>
      <c r="T26" s="44">
        <v>178</v>
      </c>
      <c r="U26" s="44">
        <v>91</v>
      </c>
      <c r="V26" s="44">
        <v>198</v>
      </c>
      <c r="W26" s="44">
        <v>121</v>
      </c>
      <c r="X26" s="44">
        <v>141</v>
      </c>
      <c r="Y26" s="44">
        <v>214</v>
      </c>
      <c r="Z26" s="44">
        <v>213</v>
      </c>
      <c r="AA26" s="119"/>
    </row>
    <row r="27" spans="1:39" ht="15.75" customHeight="1" thickTop="1" x14ac:dyDescent="0.25">
      <c r="B27" s="1" t="s">
        <v>33</v>
      </c>
      <c r="H27" s="56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14"/>
    </row>
    <row r="28" spans="1:39" ht="15.75" customHeight="1" x14ac:dyDescent="0.25">
      <c r="H28" s="58"/>
    </row>
    <row r="29" spans="1:39" ht="15.75" customHeight="1" x14ac:dyDescent="0.25">
      <c r="H29" s="58"/>
      <c r="I29" s="126" t="s">
        <v>32</v>
      </c>
      <c r="J29" s="126"/>
      <c r="K29" s="126"/>
      <c r="L29" s="126"/>
    </row>
    <row r="30" spans="1:39" ht="15.75" customHeight="1" x14ac:dyDescent="0.25">
      <c r="H30" s="58"/>
      <c r="I30" s="27"/>
      <c r="J30" s="28" t="s">
        <v>30</v>
      </c>
      <c r="K30" s="28"/>
      <c r="L30" s="28"/>
    </row>
    <row r="31" spans="1:39" ht="39" customHeight="1" x14ac:dyDescent="0.25">
      <c r="H31" s="58"/>
      <c r="I31" s="29"/>
      <c r="J31" s="28" t="s">
        <v>31</v>
      </c>
      <c r="K31" s="28"/>
      <c r="L31" s="28"/>
    </row>
    <row r="32" spans="1:39" ht="30" customHeight="1" x14ac:dyDescent="0.25">
      <c r="H32" s="58"/>
      <c r="I32" s="30"/>
      <c r="J32" s="28" t="s">
        <v>23</v>
      </c>
      <c r="K32" s="28"/>
      <c r="L32" s="28"/>
    </row>
    <row r="33" spans="2:13" ht="30" customHeight="1" thickBot="1" x14ac:dyDescent="0.3">
      <c r="H33" s="58"/>
      <c r="I33" s="28"/>
      <c r="J33" s="28"/>
      <c r="K33" s="28"/>
      <c r="L33" s="28"/>
    </row>
    <row r="34" spans="2:13" ht="30" customHeight="1" thickTop="1" thickBot="1" x14ac:dyDescent="0.3">
      <c r="B34" s="127" t="s">
        <v>27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8"/>
    </row>
    <row r="35" spans="2:13" ht="30" customHeight="1" thickTop="1" thickBot="1" x14ac:dyDescent="0.3">
      <c r="B35" s="110" t="s">
        <v>28</v>
      </c>
      <c r="C35" s="110"/>
      <c r="D35" s="110"/>
      <c r="E35" s="110"/>
      <c r="F35" s="110"/>
      <c r="G35" s="111"/>
      <c r="H35" s="112" t="s">
        <v>29</v>
      </c>
      <c r="I35" s="110"/>
      <c r="J35" s="110"/>
      <c r="K35" s="110"/>
      <c r="L35" s="110"/>
      <c r="M35" s="111"/>
    </row>
    <row r="36" spans="2:13" ht="30" customHeight="1" thickTop="1" x14ac:dyDescent="0.25">
      <c r="B36" s="113"/>
      <c r="C36" s="114"/>
      <c r="D36" s="114"/>
      <c r="E36" s="114"/>
      <c r="F36" s="114"/>
      <c r="G36" s="115"/>
      <c r="H36" s="113"/>
      <c r="I36" s="114"/>
      <c r="J36" s="114"/>
      <c r="K36" s="114"/>
      <c r="L36" s="114"/>
      <c r="M36" s="115"/>
    </row>
    <row r="37" spans="2:13" ht="30" customHeight="1" thickBot="1" x14ac:dyDescent="0.3">
      <c r="B37" s="116"/>
      <c r="C37" s="117"/>
      <c r="D37" s="117"/>
      <c r="E37" s="117"/>
      <c r="F37" s="117"/>
      <c r="G37" s="118"/>
      <c r="H37" s="116"/>
      <c r="I37" s="117"/>
      <c r="J37" s="117"/>
      <c r="K37" s="117"/>
      <c r="L37" s="117"/>
      <c r="M37" s="118"/>
    </row>
    <row r="38" spans="2:13" ht="30" customHeight="1" thickTop="1" x14ac:dyDescent="0.25"/>
  </sheetData>
  <mergeCells count="71">
    <mergeCell ref="AA25:AA26"/>
    <mergeCell ref="I29:L29"/>
    <mergeCell ref="B34:M34"/>
    <mergeCell ref="B35:G35"/>
    <mergeCell ref="H35:M35"/>
    <mergeCell ref="B36:G37"/>
    <mergeCell ref="H36:M37"/>
    <mergeCell ref="G22:G23"/>
    <mergeCell ref="AA22:AA23"/>
    <mergeCell ref="A24:AA24"/>
    <mergeCell ref="A25:A26"/>
    <mergeCell ref="B25:B26"/>
    <mergeCell ref="C25:C26"/>
    <mergeCell ref="D25:D26"/>
    <mergeCell ref="E25:E26"/>
    <mergeCell ref="F25:F26"/>
    <mergeCell ref="G25:G26"/>
    <mergeCell ref="A22:A23"/>
    <mergeCell ref="B22:B23"/>
    <mergeCell ref="C22:C23"/>
    <mergeCell ref="D22:D23"/>
    <mergeCell ref="E22:E23"/>
    <mergeCell ref="F22:F23"/>
    <mergeCell ref="A18:AA18"/>
    <mergeCell ref="A19:A20"/>
    <mergeCell ref="B19:B20"/>
    <mergeCell ref="C19:C20"/>
    <mergeCell ref="D19:D20"/>
    <mergeCell ref="E19:E20"/>
    <mergeCell ref="F19:F20"/>
    <mergeCell ref="G19:G20"/>
    <mergeCell ref="AA19:AA20"/>
    <mergeCell ref="A15:AA15"/>
    <mergeCell ref="A16:A17"/>
    <mergeCell ref="B16:B17"/>
    <mergeCell ref="C16:C17"/>
    <mergeCell ref="D16:D17"/>
    <mergeCell ref="E16:E17"/>
    <mergeCell ref="F16:F17"/>
    <mergeCell ref="G16:G17"/>
    <mergeCell ref="AA16:AA17"/>
    <mergeCell ref="A10:A11"/>
    <mergeCell ref="B10:B11"/>
    <mergeCell ref="C10:C11"/>
    <mergeCell ref="D10:D11"/>
    <mergeCell ref="E10:E11"/>
    <mergeCell ref="A12:AA12"/>
    <mergeCell ref="A13:A14"/>
    <mergeCell ref="B13:B14"/>
    <mergeCell ref="C13:C14"/>
    <mergeCell ref="D13:D14"/>
    <mergeCell ref="E13:E14"/>
    <mergeCell ref="F13:F14"/>
    <mergeCell ref="G13:G14"/>
    <mergeCell ref="AA13:AA14"/>
    <mergeCell ref="AA10:AA11"/>
    <mergeCell ref="F10:F11"/>
    <mergeCell ref="AA6:AA9"/>
    <mergeCell ref="B7:D7"/>
    <mergeCell ref="A1:AA1"/>
    <mergeCell ref="F2:G2"/>
    <mergeCell ref="W2:AA2"/>
    <mergeCell ref="A4:AA4"/>
    <mergeCell ref="A5:AA5"/>
    <mergeCell ref="E7:H7"/>
    <mergeCell ref="I7:Z7"/>
    <mergeCell ref="B8:Z8"/>
    <mergeCell ref="A6:A9"/>
    <mergeCell ref="B6:H6"/>
    <mergeCell ref="I6:Z6"/>
    <mergeCell ref="G10:G11"/>
  </mergeCells>
  <conditionalFormatting sqref="I21:Z21">
    <cfRule type="colorScale" priority="18">
      <colorScale>
        <cfvo type="min"/>
        <cfvo type="percentile" val="50"/>
        <cfvo type="max"/>
        <color rgb="FFE98BD7"/>
        <color rgb="FFD5007F"/>
        <color rgb="FF950054"/>
      </colorScale>
    </cfRule>
  </conditionalFormatting>
  <conditionalFormatting sqref="AA10">
    <cfRule type="cellIs" dxfId="16" priority="15" operator="greaterThan">
      <formula>95%</formula>
    </cfRule>
    <cfRule type="cellIs" dxfId="15" priority="16" operator="greaterThanOrEqual">
      <formula>90%</formula>
    </cfRule>
    <cfRule type="cellIs" dxfId="14" priority="17" operator="lessThan">
      <formula>89.99%</formula>
    </cfRule>
  </conditionalFormatting>
  <conditionalFormatting sqref="AA13">
    <cfRule type="cellIs" dxfId="13" priority="12" operator="greaterThan">
      <formula>95%</formula>
    </cfRule>
    <cfRule type="cellIs" dxfId="12" priority="13" operator="greaterThanOrEqual">
      <formula>90%</formula>
    </cfRule>
    <cfRule type="cellIs" dxfId="11" priority="14" operator="lessThan">
      <formula>89.99%</formula>
    </cfRule>
  </conditionalFormatting>
  <conditionalFormatting sqref="AA16">
    <cfRule type="cellIs" dxfId="10" priority="9" operator="greaterThan">
      <formula>95%</formula>
    </cfRule>
    <cfRule type="cellIs" dxfId="9" priority="10" operator="greaterThanOrEqual">
      <formula>90%</formula>
    </cfRule>
    <cfRule type="cellIs" dxfId="8" priority="11" operator="lessThan">
      <formula>89.99%</formula>
    </cfRule>
  </conditionalFormatting>
  <conditionalFormatting sqref="AA19">
    <cfRule type="cellIs" dxfId="7" priority="6" operator="greaterThan">
      <formula>95%</formula>
    </cfRule>
    <cfRule type="cellIs" dxfId="6" priority="7" operator="greaterThanOrEqual">
      <formula>90%</formula>
    </cfRule>
    <cfRule type="cellIs" dxfId="5" priority="8" operator="lessThan">
      <formula>89.99%</formula>
    </cfRule>
  </conditionalFormatting>
  <conditionalFormatting sqref="AA22">
    <cfRule type="cellIs" dxfId="4" priority="1" operator="greaterThanOrEqual">
      <formula>100%</formula>
    </cfRule>
    <cfRule type="cellIs" dxfId="3" priority="2" operator="lessThan">
      <formula>99.99%</formula>
    </cfRule>
  </conditionalFormatting>
  <conditionalFormatting sqref="AA25">
    <cfRule type="cellIs" dxfId="2" priority="3" operator="greaterThan">
      <formula>95%</formula>
    </cfRule>
    <cfRule type="cellIs" dxfId="1" priority="4" operator="greaterThanOrEqual">
      <formula>90%</formula>
    </cfRule>
    <cfRule type="cellIs" dxfId="0" priority="5" operator="lessThan">
      <formula>89.99%</formula>
    </cfRule>
  </conditionalFormatting>
  <dataValidations disablePrompts="1" count="1">
    <dataValidation showDropDown="1" showInputMessage="1" showErrorMessage="1" sqref="C21 G19:G23 G10:G11 G16:G17 G13:G14 G25:G26" xr:uid="{1D2E4228-CB74-4F4F-B3B0-B5C35D557394}"/>
  </dataValidations>
  <printOptions horizontalCentered="1"/>
  <pageMargins left="0.23622047244094491" right="0.23622047244094491" top="0.74803149606299213" bottom="0.74803149606299213" header="0.31496062992125984" footer="0.31496062992125984"/>
  <pageSetup scale="60" orientation="landscape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40491-4CC5-44C3-92F8-61A252A45CF5}">
  <dimension ref="A1"/>
  <sheetViews>
    <sheetView workbookViewId="0"/>
  </sheetViews>
  <sheetFormatPr baseColWidth="10" defaultRowHeight="13.2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d4ea72f7-698a-4710-9b83-5c5b7609dc8a">PJHJ36CWT4ZF-97-6373</_dlc_DocId>
    <_dlc_DocIdUrl xmlns="d4ea72f7-698a-4710-9b83-5c5b7609dc8a">
      <Url>http://intranet.itguardian.com.mx/Calidad/_layouts/DocIdRedir.aspx?ID=PJHJ36CWT4ZF-97-6373</Url>
      <Description>PJHJ36CWT4ZF-97-6373</Description>
    </_dlc_DocIdUrl>
  </documentManagement>
</p:properties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38DB2D399C8AD4BAAAAFF52CCD54D7A" ma:contentTypeVersion="0" ma:contentTypeDescription="Crear nuevo documento." ma:contentTypeScope="" ma:versionID="6f5250e81cb3a8914aa284c5434f391a">
  <xsd:schema xmlns:xsd="http://www.w3.org/2001/XMLSchema" xmlns:xs="http://www.w3.org/2001/XMLSchema" xmlns:p="http://schemas.microsoft.com/office/2006/metadata/properties" xmlns:ns2="d4ea72f7-698a-4710-9b83-5c5b7609dc8a" targetNamespace="http://schemas.microsoft.com/office/2006/metadata/properties" ma:root="true" ma:fieldsID="4e339b20546a0314c9f5729d075ba64a" ns2:_="">
    <xsd:import namespace="d4ea72f7-698a-4710-9b83-5c5b7609dc8a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ea72f7-698a-4710-9b83-5c5b7609dc8a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3185E0A-896A-4DE9-8F71-746092AC2565}">
  <ds:schemaRefs>
    <ds:schemaRef ds:uri="http://purl.org/dc/elements/1.1/"/>
    <ds:schemaRef ds:uri="d4ea72f7-698a-4710-9b83-5c5b7609dc8a"/>
    <ds:schemaRef ds:uri="http://schemas.microsoft.com/office/2006/documentManagement/types"/>
    <ds:schemaRef ds:uri="http://purl.org/dc/dcmitype/"/>
    <ds:schemaRef ds:uri="http://purl.org/dc/terms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99B71567-3370-4945-A420-85B502E4E7EF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D4FC1A81-9E6B-41C7-9F3D-FADA198D6024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B31DDFC6-AD0F-4E04-971E-D8C4E1D4B6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ea72f7-698a-4710-9b83-5c5b7609dc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41</vt:i4>
      </vt:variant>
      <vt:variant>
        <vt:lpstr>Rangos con nombre</vt:lpstr>
      </vt:variant>
      <vt:variant>
        <vt:i4>40</vt:i4>
      </vt:variant>
    </vt:vector>
  </HeadingPairs>
  <TitlesOfParts>
    <vt:vector size="81" baseType="lpstr">
      <vt:lpstr>PANEL DE CONTROL DISTRITAL</vt:lpstr>
      <vt:lpstr>160151</vt:lpstr>
      <vt:lpstr>160152</vt:lpstr>
      <vt:lpstr>160153</vt:lpstr>
      <vt:lpstr>160255</vt:lpstr>
      <vt:lpstr>160256</vt:lpstr>
      <vt:lpstr>160257</vt:lpstr>
      <vt:lpstr>160258</vt:lpstr>
      <vt:lpstr>160351</vt:lpstr>
      <vt:lpstr>160352</vt:lpstr>
      <vt:lpstr>160354</vt:lpstr>
      <vt:lpstr>160355</vt:lpstr>
      <vt:lpstr>160451</vt:lpstr>
      <vt:lpstr>160453</vt:lpstr>
      <vt:lpstr>160454</vt:lpstr>
      <vt:lpstr>160455</vt:lpstr>
      <vt:lpstr>160551</vt:lpstr>
      <vt:lpstr>160552</vt:lpstr>
      <vt:lpstr>160553</vt:lpstr>
      <vt:lpstr>160554</vt:lpstr>
      <vt:lpstr>160651</vt:lpstr>
      <vt:lpstr>160654</vt:lpstr>
      <vt:lpstr>160655</vt:lpstr>
      <vt:lpstr>160656</vt:lpstr>
      <vt:lpstr>160751</vt:lpstr>
      <vt:lpstr>160753</vt:lpstr>
      <vt:lpstr>160754</vt:lpstr>
      <vt:lpstr>160755</vt:lpstr>
      <vt:lpstr>160756</vt:lpstr>
      <vt:lpstr>160851</vt:lpstr>
      <vt:lpstr>160852</vt:lpstr>
      <vt:lpstr>160951</vt:lpstr>
      <vt:lpstr>160952</vt:lpstr>
      <vt:lpstr>161051</vt:lpstr>
      <vt:lpstr>161052</vt:lpstr>
      <vt:lpstr>161151</vt:lpstr>
      <vt:lpstr>161152</vt:lpstr>
      <vt:lpstr>161153</vt:lpstr>
      <vt:lpstr>161155</vt:lpstr>
      <vt:lpstr>161156</vt:lpstr>
      <vt:lpstr>Hoja1</vt:lpstr>
      <vt:lpstr>'160151'!Títulos_a_imprimir</vt:lpstr>
      <vt:lpstr>'160152'!Títulos_a_imprimir</vt:lpstr>
      <vt:lpstr>'160153'!Títulos_a_imprimir</vt:lpstr>
      <vt:lpstr>'160255'!Títulos_a_imprimir</vt:lpstr>
      <vt:lpstr>'160256'!Títulos_a_imprimir</vt:lpstr>
      <vt:lpstr>'160257'!Títulos_a_imprimir</vt:lpstr>
      <vt:lpstr>'160258'!Títulos_a_imprimir</vt:lpstr>
      <vt:lpstr>'160351'!Títulos_a_imprimir</vt:lpstr>
      <vt:lpstr>'160352'!Títulos_a_imprimir</vt:lpstr>
      <vt:lpstr>'160354'!Títulos_a_imprimir</vt:lpstr>
      <vt:lpstr>'160355'!Títulos_a_imprimir</vt:lpstr>
      <vt:lpstr>'160451'!Títulos_a_imprimir</vt:lpstr>
      <vt:lpstr>'160453'!Títulos_a_imprimir</vt:lpstr>
      <vt:lpstr>'160454'!Títulos_a_imprimir</vt:lpstr>
      <vt:lpstr>'160455'!Títulos_a_imprimir</vt:lpstr>
      <vt:lpstr>'160551'!Títulos_a_imprimir</vt:lpstr>
      <vt:lpstr>'160552'!Títulos_a_imprimir</vt:lpstr>
      <vt:lpstr>'160553'!Títulos_a_imprimir</vt:lpstr>
      <vt:lpstr>'160554'!Títulos_a_imprimir</vt:lpstr>
      <vt:lpstr>'160651'!Títulos_a_imprimir</vt:lpstr>
      <vt:lpstr>'160654'!Títulos_a_imprimir</vt:lpstr>
      <vt:lpstr>'160655'!Títulos_a_imprimir</vt:lpstr>
      <vt:lpstr>'160656'!Títulos_a_imprimir</vt:lpstr>
      <vt:lpstr>'160751'!Títulos_a_imprimir</vt:lpstr>
      <vt:lpstr>'160753'!Títulos_a_imprimir</vt:lpstr>
      <vt:lpstr>'160754'!Títulos_a_imprimir</vt:lpstr>
      <vt:lpstr>'160755'!Títulos_a_imprimir</vt:lpstr>
      <vt:lpstr>'160756'!Títulos_a_imprimir</vt:lpstr>
      <vt:lpstr>'160851'!Títulos_a_imprimir</vt:lpstr>
      <vt:lpstr>'160852'!Títulos_a_imprimir</vt:lpstr>
      <vt:lpstr>'160951'!Títulos_a_imprimir</vt:lpstr>
      <vt:lpstr>'160952'!Títulos_a_imprimir</vt:lpstr>
      <vt:lpstr>'161051'!Títulos_a_imprimir</vt:lpstr>
      <vt:lpstr>'161052'!Títulos_a_imprimir</vt:lpstr>
      <vt:lpstr>'161151'!Títulos_a_imprimir</vt:lpstr>
      <vt:lpstr>'161152'!Títulos_a_imprimir</vt:lpstr>
      <vt:lpstr>'161153'!Títulos_a_imprimir</vt:lpstr>
      <vt:lpstr>'161155'!Títulos_a_imprimir</vt:lpstr>
      <vt:lpstr>'161156'!Títulos_a_imprimir</vt:lpstr>
      <vt:lpstr>'PANEL DE CONTROL DISTRITAL'!Títulos_a_imprimir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Ricardo Sánchez Sánchez</dc:creator>
  <cp:lastModifiedBy>MARTINEZ GUTIERREZ LAURA JANETT</cp:lastModifiedBy>
  <cp:lastPrinted>2020-12-16T08:17:36Z</cp:lastPrinted>
  <dcterms:created xsi:type="dcterms:W3CDTF">2017-02-09T16:44:50Z</dcterms:created>
  <dcterms:modified xsi:type="dcterms:W3CDTF">2024-08-02T22:07:28Z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0x010100E38DB2D399C8AD4BAAAAFF52CCD54D7A</vt:lpwstr>
  </property>
  <property fmtid="{D5CDD505-2E9C-101B-9397-08002B2CF9AE}" pid="3" name="_dlc_DocIdItemGuid">
    <vt:lpwstr>c437e133-8383-47ca-8925-3c16fbcdbf98</vt:lpwstr>
  </property>
</Properties>
</file>